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5"/>
  </bookViews>
  <sheets>
    <sheet name="1.pielikums" sheetId="1" r:id="rId1"/>
    <sheet name="2.pielikums" sheetId="2" r:id="rId2"/>
    <sheet name="3.pielikums" sheetId="3" r:id="rId3"/>
    <sheet name="4.pielikums" sheetId="4" r:id="rId4"/>
    <sheet name="5.pielikums" sheetId="5" r:id="rId5"/>
    <sheet name="8.pielikums" sheetId="6" r:id="rId6"/>
  </sheets>
  <definedNames>
    <definedName name="_xlnm.Print_Titles" localSheetId="0">'1.pielikums'!$8:$8</definedName>
    <definedName name="_xlnm.Print_Titles" localSheetId="2">'3.pielikums'!$8:$10</definedName>
    <definedName name="_xlnm.Print_Titles" localSheetId="3">'4.pielikums'!$7:$7</definedName>
    <definedName name="_xlnm.Print_Titles" localSheetId="4">'5.pielikums'!$A:$A,'5.pielikums'!$5:$6</definedName>
  </definedNames>
  <calcPr fullCalcOnLoad="1"/>
</workbook>
</file>

<file path=xl/sharedStrings.xml><?xml version="1.0" encoding="utf-8"?>
<sst xmlns="http://schemas.openxmlformats.org/spreadsheetml/2006/main" count="1774" uniqueCount="989">
  <si>
    <t>PROJEKTS</t>
  </si>
  <si>
    <t>1.pielikums</t>
  </si>
  <si>
    <t>Pamatbudžeta ieņēmumi</t>
  </si>
  <si>
    <t>EUR</t>
  </si>
  <si>
    <t>Klasifikā-cijas kods</t>
  </si>
  <si>
    <t>Rādītāju nosaukums</t>
  </si>
  <si>
    <t>Grozījumi         + vai -</t>
  </si>
  <si>
    <t>I. IEŅĒMUMI KOPĀ (1+2+3+4)</t>
  </si>
  <si>
    <t>1. Nodokļu ieņēmumi</t>
  </si>
  <si>
    <t>01.100.</t>
  </si>
  <si>
    <t>Ieņēmumi no iedzīvotāju ienākuma nodokļa</t>
  </si>
  <si>
    <t>01.111.</t>
  </si>
  <si>
    <t>01.112.</t>
  </si>
  <si>
    <t>04.100.</t>
  </si>
  <si>
    <t>Nekustamā īpašuma nodoklis</t>
  </si>
  <si>
    <t>04.110.</t>
  </si>
  <si>
    <t>Nekustamā īpašuma nodoklis par zemi</t>
  </si>
  <si>
    <t>04.120.</t>
  </si>
  <si>
    <t>Nekustamā īpašuma nodoklis par ēkām</t>
  </si>
  <si>
    <t>04.130.</t>
  </si>
  <si>
    <t>Nekustamā īpašuma nodoklis par mājokļiem</t>
  </si>
  <si>
    <t>05.410.</t>
  </si>
  <si>
    <t>Azartspēļu nodoklis</t>
  </si>
  <si>
    <t>05.530.</t>
  </si>
  <si>
    <t>Dabas resursu nodoklis</t>
  </si>
  <si>
    <t>2. Nenodokļu ieņēmumi</t>
  </si>
  <si>
    <t>09.000.</t>
  </si>
  <si>
    <t>Valsts (pašvaldību) nodevas un kancelejas nodevas</t>
  </si>
  <si>
    <t>09.400.</t>
  </si>
  <si>
    <t>Valsts nodevas, kuras ieskaita pašvaldību budžetā</t>
  </si>
  <si>
    <t>09.430.</t>
  </si>
  <si>
    <t>Valsts nodeva par uzvārda, vārda un tautības ieraksta maiņu personu apliecinošos dokumentos</t>
  </si>
  <si>
    <t>09.450.</t>
  </si>
  <si>
    <t>Valsts nodevas par laulības reģistrāciju, civilstāvokļa akta reģistra ieraksta aktualizēšanu vai atjaunošanu un atkārtotas civilstāvokļa aktu reģistrācijas apliecības izsniegšanu</t>
  </si>
  <si>
    <t>09.490.</t>
  </si>
  <si>
    <t>Pārējās valsts nodevas, kuras ieskaita pašvaldību budžetā</t>
  </si>
  <si>
    <t>09.500.</t>
  </si>
  <si>
    <t>Pašvaldību nodevas</t>
  </si>
  <si>
    <t>09.511.</t>
  </si>
  <si>
    <t>Pašvaldības nodeva par domes izstrādāto oficiālo dokumentu un apliecinātu to kopiju saņemšanu</t>
  </si>
  <si>
    <t>09.512.</t>
  </si>
  <si>
    <t>Pašvaldības nodeva par izklaidējoša rakstura pasākumu sarīkošanu publiskās vietās</t>
  </si>
  <si>
    <t>09.514.</t>
  </si>
  <si>
    <t>Pašvaldības nodeva par tirdzniecību publiskās vietās</t>
  </si>
  <si>
    <t>09.515.</t>
  </si>
  <si>
    <t>Pašvaldības nodeva par dzīvnieku turēšanu</t>
  </si>
  <si>
    <t>09.517.</t>
  </si>
  <si>
    <t>Pašvaldības nodeva par reklāmas, afišu un sludinājumu izvietošanu publiskās vietās</t>
  </si>
  <si>
    <t>09.521.</t>
  </si>
  <si>
    <t>Pašvaldības nodeva par būvatļaujas izdošanu vai būvniecības ieceres akceptu</t>
  </si>
  <si>
    <t>09.529.</t>
  </si>
  <si>
    <t>Pārējās nodevas, ko uzliek pašvaldības</t>
  </si>
  <si>
    <t>10.000.</t>
  </si>
  <si>
    <t>Naudas sodi un sankcijas</t>
  </si>
  <si>
    <t>10.100.</t>
  </si>
  <si>
    <t>Naudas sodi</t>
  </si>
  <si>
    <t>10.140.</t>
  </si>
  <si>
    <t>Naudas sodi, ko uzliek pašvaldības</t>
  </si>
  <si>
    <t>10.154.</t>
  </si>
  <si>
    <t>Naudas sodi, ko uzliek pašvaldību institūcijas par pārkāpumiem ceļu satiksmē</t>
  </si>
  <si>
    <t>12.000.</t>
  </si>
  <si>
    <t>Pārējie nenodokļu ieņēmumi</t>
  </si>
  <si>
    <t>12.340.</t>
  </si>
  <si>
    <t>Ieņēmumi no budžeta iestāžu saņemto un iepriekšējos gados neizlietoto budžeta līdzekļu atmaksāšanas</t>
  </si>
  <si>
    <t>12.390.</t>
  </si>
  <si>
    <t>Citi dažādi nenodokļu ieņēmumi</t>
  </si>
  <si>
    <t>12.393.</t>
  </si>
  <si>
    <t>Piedzītie un labprātīgi atmaksātie līdzekļi</t>
  </si>
  <si>
    <t>12.395.</t>
  </si>
  <si>
    <t>Līgumsodi un procentu maksājumi par saistību neizpildi</t>
  </si>
  <si>
    <t>12.399.</t>
  </si>
  <si>
    <t>Pārējie dažādi nenodokļu ieņēmumi, kas nav iepriekš klasificēti šajā klasifikācijā</t>
  </si>
  <si>
    <t>13.000.</t>
  </si>
  <si>
    <t>Ieņēmumi no (valsts) pašvaldību īpašuma iznomāšanas, pārdošanas un no nodokļu pamatparāda kapitalizācijas</t>
  </si>
  <si>
    <t>13.100.</t>
  </si>
  <si>
    <t>Ieņēmumi no ēku un būvju īpašuma pārdošanas</t>
  </si>
  <si>
    <t>13.210.</t>
  </si>
  <si>
    <t>Ieņēmumi no zemes īpašuma pārdošanas</t>
  </si>
  <si>
    <t>13.400.</t>
  </si>
  <si>
    <t>Ieņēmumi no valsts un pašvaldību kustamā īpašuma un mantas realizācijas</t>
  </si>
  <si>
    <t>3. Transferti</t>
  </si>
  <si>
    <t>17.000.</t>
  </si>
  <si>
    <t>No valsts budžeta daļēji finansēto atvasināto publisko personu un budžeta nefinansēto iestāžu transferti</t>
  </si>
  <si>
    <t>17.200.</t>
  </si>
  <si>
    <t>Pašvaldību saņemtie transferti no valsts budžeta daļēji finansētām atvasinātām publiskām personām un no budžeta nefinansētām iestādēm</t>
  </si>
  <si>
    <t>18.000.</t>
  </si>
  <si>
    <t>Valsts budžeta transferti</t>
  </si>
  <si>
    <t>18.600.</t>
  </si>
  <si>
    <t>Pašvaldību saņemtie transferti no valsts budžeta</t>
  </si>
  <si>
    <t>18.620.</t>
  </si>
  <si>
    <t>Pašvaldību saņemtie valsts budžeta transferti</t>
  </si>
  <si>
    <t>18.630.</t>
  </si>
  <si>
    <t>Pašvaldību no valsts budžeta iestādēm saņemtie transferti Eiropas Savienības politiku instrumentu un pārējās ārvalstu finanšu palīdzības līdzfinansētajiem projektiem (pasākumiem)</t>
  </si>
  <si>
    <t>18.640.</t>
  </si>
  <si>
    <t>Pašvaldību budžetā saņemtā dotācija no pašvaldību finanšu izlīdzināšanas fonda</t>
  </si>
  <si>
    <t>19.000.</t>
  </si>
  <si>
    <t>Pašvaldību budžetu transferti</t>
  </si>
  <si>
    <t>19.200.</t>
  </si>
  <si>
    <t>Pašvaldību saņemtie transferti no citām pašvaldībām</t>
  </si>
  <si>
    <t>4. Maksas pakalpojumi un citi pašu ieņēmumi</t>
  </si>
  <si>
    <t>21.000.</t>
  </si>
  <si>
    <t>Iestādes ieņēmumi</t>
  </si>
  <si>
    <t>21.100.</t>
  </si>
  <si>
    <t>Iestādes ieņēmumi no ārvalstu finanšu palīdzības</t>
  </si>
  <si>
    <t>21.150.</t>
  </si>
  <si>
    <t>21.191.</t>
  </si>
  <si>
    <t>21.194.</t>
  </si>
  <si>
    <t>Ieņēmumi no vadošā partnera partneru grupas īstenotajiem ārvalstu finanšu palīdzības projektiem</t>
  </si>
  <si>
    <t>21.300.</t>
  </si>
  <si>
    <t>Ieņēmumi no iestāžu sniegtajiem maksas pakalpojumiem un citi pašu ieņēmumi</t>
  </si>
  <si>
    <t>21.340.</t>
  </si>
  <si>
    <t>Procentu ieņēmumi par maksas pakalpojumu un citu pašu ieņēmumu ieguldījumiem depozītā vai kontu atlikumiem</t>
  </si>
  <si>
    <t>21.350.</t>
  </si>
  <si>
    <t>Maksa par izglītības pakalpojumiem</t>
  </si>
  <si>
    <t>21.351.</t>
  </si>
  <si>
    <t>Mācību maksa</t>
  </si>
  <si>
    <t>21.359.</t>
  </si>
  <si>
    <t>Pārējie ieņēmumi par izglītības pakalpojumiem</t>
  </si>
  <si>
    <t>21.370.</t>
  </si>
  <si>
    <t>Ieņēmumi par dokumentu izsniegšanu un kancelejas pakalpojumiem</t>
  </si>
  <si>
    <t>21.379.</t>
  </si>
  <si>
    <t>Ieņēmumi par pārējo dokumentu izsniegšanu un pārējiem kancelejas pakalpojumiem</t>
  </si>
  <si>
    <t>21.380.</t>
  </si>
  <si>
    <t>Ieņēmumi par nomu un īri</t>
  </si>
  <si>
    <t>21.383.</t>
  </si>
  <si>
    <t>Ieņēmumi no kustamā īpašuma iznomāšanas</t>
  </si>
  <si>
    <t>21.384.</t>
  </si>
  <si>
    <t>Ieņēmumi par zemes nomu</t>
  </si>
  <si>
    <t>21.389.</t>
  </si>
  <si>
    <t>Pārējie ieņēmumi par nomu un īri</t>
  </si>
  <si>
    <t>21.390.</t>
  </si>
  <si>
    <t>Ieņēmumi par pārējiem sniegtajiem maksas pakalpojumiem</t>
  </si>
  <si>
    <t>21.391.</t>
  </si>
  <si>
    <t>Maksa par personu uzturēšanos sociālās aprūpes iestādēs</t>
  </si>
  <si>
    <t>21.393.</t>
  </si>
  <si>
    <t>Ieņēmumi par biļešu realizāciju</t>
  </si>
  <si>
    <t>21.394.</t>
  </si>
  <si>
    <t>Ieņēmumi par komunālajiem pakalpojumiem</t>
  </si>
  <si>
    <t>21.395.</t>
  </si>
  <si>
    <t>Ieņēmumi par projektu īstenošanu</t>
  </si>
  <si>
    <t>21.399.</t>
  </si>
  <si>
    <t>Citi ieņēmumi par maksas pakalpojumiem</t>
  </si>
  <si>
    <t>21.400.</t>
  </si>
  <si>
    <t>Pārējie 21.300.grupā neklasificētie iestāžu ieņēmumi par iestāžu sniegtajiem maksas pakalpojumiem un citu pašu ieņēmumi</t>
  </si>
  <si>
    <t>II. FINANSĒŠANA</t>
  </si>
  <si>
    <t>F21010000</t>
  </si>
  <si>
    <t>Naudas līdzekļi uz perioda sākumu</t>
  </si>
  <si>
    <t>F40020000</t>
  </si>
  <si>
    <t>Saņemtie aizņēmumi</t>
  </si>
  <si>
    <t>PAVISAM RESURSI (I+II)</t>
  </si>
  <si>
    <t>Domes priekšsēdētājs</t>
  </si>
  <si>
    <t>A.Rāviņš</t>
  </si>
  <si>
    <t>2.pielikums</t>
  </si>
  <si>
    <t>Pamatbudžeta izdevumu grozījumi</t>
  </si>
  <si>
    <t>Valdības funkcija</t>
  </si>
  <si>
    <t>Grozījumi</t>
  </si>
  <si>
    <t>Dotācija no vispārējiem ieņēmumiem</t>
  </si>
  <si>
    <t>Budžeta iestāžu ieņēmumi</t>
  </si>
  <si>
    <t>Pašvaldību budžeta transferti</t>
  </si>
  <si>
    <t>I. Izdevumi atbilstoši funkcionālajām kategorijām</t>
  </si>
  <si>
    <t>01.000.</t>
  </si>
  <si>
    <t>Vispārējie valdības dienesti</t>
  </si>
  <si>
    <t>03.000.</t>
  </si>
  <si>
    <t>Sabiedriskā kārtība un drošība</t>
  </si>
  <si>
    <t>04.000.</t>
  </si>
  <si>
    <t>Ekonomiskā darbība</t>
  </si>
  <si>
    <t>05.000.</t>
  </si>
  <si>
    <t>Vides aizsardzība</t>
  </si>
  <si>
    <t>06.000.</t>
  </si>
  <si>
    <t>Teritoriju un mājokļu apsaimniekošana</t>
  </si>
  <si>
    <t>07.000.</t>
  </si>
  <si>
    <t>Veselība</t>
  </si>
  <si>
    <t>08.000.</t>
  </si>
  <si>
    <t>Atpūta, kultūra un reliģija</t>
  </si>
  <si>
    <t>Izglītība</t>
  </si>
  <si>
    <t>Sociālā aizsardzība</t>
  </si>
  <si>
    <t>II. Finansēšana</t>
  </si>
  <si>
    <t>F40320020</t>
  </si>
  <si>
    <t>Saņemto ilgtermiņa aizņēmumu atmaksa</t>
  </si>
  <si>
    <t>F50010000</t>
  </si>
  <si>
    <t>Akcijas un cita līdzdalība komersantu pašu kapitālā</t>
  </si>
  <si>
    <t>SIA "Medicīnas sabiedrība OPTIMA - 1"</t>
  </si>
  <si>
    <t>SIA "Jelgavas ūdens"</t>
  </si>
  <si>
    <t>SIA "Zemgales olimpiskais centrs"</t>
  </si>
  <si>
    <t>SIA "Jelgavas poliklīnika"</t>
  </si>
  <si>
    <t>SIA "Jelgavas pilsētas slimnīca"</t>
  </si>
  <si>
    <t>Naudas līdzekļu atlikums uz perioda beigām</t>
  </si>
  <si>
    <t>PAVISAM IZDEVUMI (I+II)</t>
  </si>
  <si>
    <t>3.pielikums</t>
  </si>
  <si>
    <t>Pamatbudžeta izdevumu atšifrējums pa programmām</t>
  </si>
  <si>
    <t>Resursi izdevumu segšanai</t>
  </si>
  <si>
    <t>Grozījumi dotācijai no vispārējiem ieņēmumiem</t>
  </si>
  <si>
    <t>Grozījumi budžeta iestāžu ieņēmumiem</t>
  </si>
  <si>
    <t>Grozījumi valsts budžeta transfertiem</t>
  </si>
  <si>
    <t>Grozījumi pašvaldību budžeta transfertiem</t>
  </si>
  <si>
    <t>01.110.</t>
  </si>
  <si>
    <t>Izpildvaras un likumdošanas varas institūcijas</t>
  </si>
  <si>
    <t>Izpildvaras institūcija</t>
  </si>
  <si>
    <t>01.113.</t>
  </si>
  <si>
    <t>Projekts "Komunikācija ar sabiedrību tās iesaistei pašvaldību lēmumu pieņemšanā"</t>
  </si>
  <si>
    <t>01.120.</t>
  </si>
  <si>
    <t>Finanšu un fiskālā darbība</t>
  </si>
  <si>
    <t>01.122.</t>
  </si>
  <si>
    <t>Nekustamā īpašuma nodokļa un citu pašvaldības ieņēmumu administrēšana</t>
  </si>
  <si>
    <t>01.123.</t>
  </si>
  <si>
    <t>PI "Pašvaldības iestāžu centralizētā grāmatvedība" darbības nodrošināšana</t>
  </si>
  <si>
    <t>01.124.</t>
  </si>
  <si>
    <t>Zvērināto auditoru pakalpojumi un grāmatvedības programmu uzturēšana</t>
  </si>
  <si>
    <t>01.330.</t>
  </si>
  <si>
    <t>Pārējo vispārējas nozīmes dienestu darbība un pakalpojumi</t>
  </si>
  <si>
    <t>01.331.</t>
  </si>
  <si>
    <t>Centralizēto datoru un datortīkla uzturēšana</t>
  </si>
  <si>
    <t>01.332.</t>
  </si>
  <si>
    <t>01.600.</t>
  </si>
  <si>
    <t>Pārējie iepriekš neklasificētie vispārējie valdības dienesti</t>
  </si>
  <si>
    <t>01.601.</t>
  </si>
  <si>
    <t>Vēlēšanu organizēšana</t>
  </si>
  <si>
    <t>01.720.</t>
  </si>
  <si>
    <t>Pašvaldību budžetu parāda darījumi</t>
  </si>
  <si>
    <t>01.721.</t>
  </si>
  <si>
    <t>Parāda procentu nomaksa</t>
  </si>
  <si>
    <t>01.830.</t>
  </si>
  <si>
    <t>Vispārēja rakstura transferti no pašvaldību budžeta pašvaldību budžetam</t>
  </si>
  <si>
    <t>01.831.</t>
  </si>
  <si>
    <t>Transferti citām pašvaldībām izglītības funkciju nodrošināšanai</t>
  </si>
  <si>
    <t>01.832.</t>
  </si>
  <si>
    <t>Transferti citām pašvaldībām sociālās aizsardzības funkciju nodrošināšanai</t>
  </si>
  <si>
    <t>01.890.</t>
  </si>
  <si>
    <t>Pārējie citur neklasificētie vispārēja rakstura transferti starp dažādiem valsts pārvaldes līmeņiem</t>
  </si>
  <si>
    <t>01.891.</t>
  </si>
  <si>
    <t>03.100.</t>
  </si>
  <si>
    <t>Policija</t>
  </si>
  <si>
    <t>03.111.</t>
  </si>
  <si>
    <t>03.200.</t>
  </si>
  <si>
    <t>Ugunsdrošības, ugunsdzēsības, glābšanas un civilās drošības dienesti</t>
  </si>
  <si>
    <t>03.202.</t>
  </si>
  <si>
    <t>04.510.</t>
  </si>
  <si>
    <t>Autotransports</t>
  </si>
  <si>
    <t>04.511.</t>
  </si>
  <si>
    <t>Ceļu un ielu infrastruktūras funkcionēšana, izmantošana, būvniecība un uzturēšana</t>
  </si>
  <si>
    <t>04.515.</t>
  </si>
  <si>
    <t>ERAF projekts "Tehniskās infrastruktūras sakārtošana uzņēmējdarbības attīstībai degradētajā teritorijā, 1.kārta"</t>
  </si>
  <si>
    <t>ERAF projekts "Tehniskās infrastruktūras sakārtošana uzņēmējdarbības attīstībai degradētajā teritorijā, 2.kārta"</t>
  </si>
  <si>
    <t>04.510.530.</t>
  </si>
  <si>
    <t>ERAF projekts "Tehniskās infrastruktūras sakārtošana uzņēmējdarbības attīstībai degradētajā teritorijā, 3.kārta"</t>
  </si>
  <si>
    <t>04.730.</t>
  </si>
  <si>
    <t>Tūrisms</t>
  </si>
  <si>
    <t>04.733.</t>
  </si>
  <si>
    <t>PI "Jelgavas reģionālais tūrisma centrs" darbības nodrošināšana</t>
  </si>
  <si>
    <t>04.737.</t>
  </si>
  <si>
    <t>ERAF projekts "Nozīmīga kultūrvēsturiskā mantojuma saglabāšana un attīstība kultūras tūrisma piedāvājuma pilnveidošanai Zemgales reģionā"</t>
  </si>
  <si>
    <t>04.740.</t>
  </si>
  <si>
    <t>Vairāku mērķu attīstības projekti</t>
  </si>
  <si>
    <t>ERAF projekts "Kompleksu pasākumu īstenošana Svētes upes caurplūdes atjaunošanai un plūdu apdraudējuma samazināšanai piegulošajās teritorijās"</t>
  </si>
  <si>
    <t>ERAF projekts "Jelgavas lidlauka poldera dambja pārbūve plūdu draudu novēršanai"</t>
  </si>
  <si>
    <t>04.900.</t>
  </si>
  <si>
    <t>Pārējā nekur citur neklasificētā ekonomiskā darbība</t>
  </si>
  <si>
    <t>04.901.</t>
  </si>
  <si>
    <t>Zemes reformas darbība, zemes īpašuma un lietošanas tiesību pārveidošana</t>
  </si>
  <si>
    <t>04.909.</t>
  </si>
  <si>
    <t>Dotācija "Zemgales plānošanas reģions"</t>
  </si>
  <si>
    <t>04.917.</t>
  </si>
  <si>
    <t>Jelgavas pilsētas pašvaldības grantu programma "Atbalsts komersantiem un saimnieciskās darbības veicējiem"</t>
  </si>
  <si>
    <t>05.100.</t>
  </si>
  <si>
    <t>Atkritumu apsaimniekošana</t>
  </si>
  <si>
    <t>05.101.</t>
  </si>
  <si>
    <t>Ielu, laukumu, publisko dārzu un parku tīrīšana un atkritumu savākšana</t>
  </si>
  <si>
    <t>05.102.</t>
  </si>
  <si>
    <t>05.200.</t>
  </si>
  <si>
    <t>Notekūdeņu apsaimniekošana</t>
  </si>
  <si>
    <t>05.202.</t>
  </si>
  <si>
    <t>05.300.</t>
  </si>
  <si>
    <t>Vides piesārņojuma novēršana un samazināšana</t>
  </si>
  <si>
    <t>05.303.</t>
  </si>
  <si>
    <t>05.600.</t>
  </si>
  <si>
    <t>Pārējā nekur citur neklasificētā vides aizsardzība</t>
  </si>
  <si>
    <t>06.200.</t>
  </si>
  <si>
    <t>Teritoriju attīstība</t>
  </si>
  <si>
    <t>06.201.</t>
  </si>
  <si>
    <t>Projektu sagatavošana, izstrāde un teritoriju attīstība</t>
  </si>
  <si>
    <t>06.400.</t>
  </si>
  <si>
    <t>Ielu apgaismošana</t>
  </si>
  <si>
    <t>06.401.</t>
  </si>
  <si>
    <t>06.600.</t>
  </si>
  <si>
    <t>Pārējā citur neklasificētā teritoriju un mājokļu apsaimniekošanas darbība</t>
  </si>
  <si>
    <t>06.601.</t>
  </si>
  <si>
    <t>PI "Pilsētsaimniecība" darbības nodrošināšana</t>
  </si>
  <si>
    <t>06.602.</t>
  </si>
  <si>
    <t>06.603.</t>
  </si>
  <si>
    <t>Pašvaldības īpašumu apsaimniekošana</t>
  </si>
  <si>
    <t>06.604.</t>
  </si>
  <si>
    <t>Pašvaldības dzīvokļu pārvaldīšana, remonts un veco māju nojaukšana</t>
  </si>
  <si>
    <t>06.606.</t>
  </si>
  <si>
    <t>Ar pašvaldības teritoriju saistīto normatīvo aktu un standartu sagatavošana un ieviešana</t>
  </si>
  <si>
    <t>06.607.</t>
  </si>
  <si>
    <t>Pašvaldības līdzfinansējums energoefektivitātes paaugstināšanas pasākumu veikšanai daudzdzīvokļu dzīvojamās mājās</t>
  </si>
  <si>
    <t>07.100.</t>
  </si>
  <si>
    <t>Ārstniecības līdzekļi</t>
  </si>
  <si>
    <t>07.200.</t>
  </si>
  <si>
    <t>Ambulatoru ārstniecības iestāžu darbība un pakalpojumi</t>
  </si>
  <si>
    <t>07.300.</t>
  </si>
  <si>
    <t>Slimnīcu pakalpojumi</t>
  </si>
  <si>
    <t>07.450.</t>
  </si>
  <si>
    <t>Veselības veicināšanas pasākumi</t>
  </si>
  <si>
    <t>07.452.</t>
  </si>
  <si>
    <t>07.623.</t>
  </si>
  <si>
    <t>Nodibinājums "Jelgavnieku veselības veicināšanas fonds"</t>
  </si>
  <si>
    <t>08.100.</t>
  </si>
  <si>
    <t>Atpūtas un sporta pasākumi</t>
  </si>
  <si>
    <t>08.101.</t>
  </si>
  <si>
    <t>PI "Sporta servisa centrs" darbības nodrošināšana</t>
  </si>
  <si>
    <t>08.103.</t>
  </si>
  <si>
    <t>Dotācijas sporta pasākumiem</t>
  </si>
  <si>
    <t>08.105.</t>
  </si>
  <si>
    <t>Nodibinājums "Sporta tālākizglītības atbalsta fonds"</t>
  </si>
  <si>
    <t>08.200.</t>
  </si>
  <si>
    <t>Kultūra</t>
  </si>
  <si>
    <t>08.210.</t>
  </si>
  <si>
    <t>Bibliotēkas</t>
  </si>
  <si>
    <t>08.211.</t>
  </si>
  <si>
    <t>08.214.</t>
  </si>
  <si>
    <t>Erasmus+ programmas projekts "Lauku un reģionālās bibliotēkas kā vietējie ģimenes uzņēmējdarbības centri"</t>
  </si>
  <si>
    <t>08.220.</t>
  </si>
  <si>
    <t>Muzeji un izstādes</t>
  </si>
  <si>
    <t>08.221.</t>
  </si>
  <si>
    <t>PI "Ģ.Eliasa Jelgavas Vēstures un mākslas muzejs" darbības nodrošināšana</t>
  </si>
  <si>
    <t>08.230.</t>
  </si>
  <si>
    <t>Kultūras centri, nami un klubi</t>
  </si>
  <si>
    <t>08.231.</t>
  </si>
  <si>
    <t>PI "Kultūra" darbības nodrošināšana</t>
  </si>
  <si>
    <t>08.232.</t>
  </si>
  <si>
    <t>PI "Kultūra" pasākumi</t>
  </si>
  <si>
    <t>08.240.</t>
  </si>
  <si>
    <t>Teātri, izrādes un koncertdarbība</t>
  </si>
  <si>
    <t>08.241.</t>
  </si>
  <si>
    <t>Jelgavas kamerorķestra darbības nodrošināšana</t>
  </si>
  <si>
    <t>08.242.</t>
  </si>
  <si>
    <t>Jelgavas bigbenda darbības nodrošināšana</t>
  </si>
  <si>
    <t>08.243.</t>
  </si>
  <si>
    <t>Jelgavas Ā.Alunāna teātra darbības nodrošināšana</t>
  </si>
  <si>
    <t>08.290.</t>
  </si>
  <si>
    <t>Pārējā citur neklasificētā kultūra</t>
  </si>
  <si>
    <t>08.291.</t>
  </si>
  <si>
    <t>Tautas mākslas kolektīvu darbības nodrošināšana</t>
  </si>
  <si>
    <t>08.292.</t>
  </si>
  <si>
    <t>Pilsētas nozīmes pasākumi</t>
  </si>
  <si>
    <t>08.400.</t>
  </si>
  <si>
    <t>Reliģisko organizāciju un citu biedrību un nodibinājumu pakalpojumi</t>
  </si>
  <si>
    <t>08.401.</t>
  </si>
  <si>
    <t>Dotācijas projektu realizācijai NVO</t>
  </si>
  <si>
    <t>08.402.</t>
  </si>
  <si>
    <t>Kultūras padomes finansētie pasākumi</t>
  </si>
  <si>
    <t>08.403.</t>
  </si>
  <si>
    <t>Nodibinājums "Atbalsts kultūrai Jelgavā"</t>
  </si>
  <si>
    <t>08.405.</t>
  </si>
  <si>
    <t>Dotācijas biedrībām un nodibinājumiem</t>
  </si>
  <si>
    <t>09.100.</t>
  </si>
  <si>
    <t>Pirmsskolas izglītība</t>
  </si>
  <si>
    <t>09.101.</t>
  </si>
  <si>
    <t>09.111.</t>
  </si>
  <si>
    <t>Projekts "Ēkas pārbūve par pirmskolas izglītības iestādi Brīvības bulvārī 31 A, Jelgavā"</t>
  </si>
  <si>
    <t>09.200.</t>
  </si>
  <si>
    <t>Pamatizglītība, vispārējā un profesionālā izglītība</t>
  </si>
  <si>
    <t>09.210.</t>
  </si>
  <si>
    <t>Vispārējā izglītība. Pamatizglītība</t>
  </si>
  <si>
    <t>09.219.1.</t>
  </si>
  <si>
    <t>Jelgavas vispārizglītojošo skolu darbības nodrošināšana</t>
  </si>
  <si>
    <t>09.219.2.</t>
  </si>
  <si>
    <t>09.219.3.</t>
  </si>
  <si>
    <t>Jelgavas vispārizglītojošo skolu projektu īstenošana</t>
  </si>
  <si>
    <t>09.219.5.</t>
  </si>
  <si>
    <t>ERAF projekts "Mācību vides uzlabošana Jelgavas Valsts ģimnāzijā un Jelgavas Tehnoloģiju vidusskolā"</t>
  </si>
  <si>
    <t>09.219.6.</t>
  </si>
  <si>
    <t>09.219.8.</t>
  </si>
  <si>
    <t>ERAF projekts "Jelgavas pilsētas pašvaldības izglītības iestādes "Jelgavas Tehnoloģiju vidusskola" energoefektivitātes paaugstināšana"</t>
  </si>
  <si>
    <t>09.222.</t>
  </si>
  <si>
    <t>Profesionālā vidējā izglītība</t>
  </si>
  <si>
    <t>09.222.2.</t>
  </si>
  <si>
    <t>Jelgavas Amatu vidusskolas darbības nodrošināšana</t>
  </si>
  <si>
    <t>09.222.3.</t>
  </si>
  <si>
    <t>Jelgavas Amatu vidusskolas projektu īstenošana</t>
  </si>
  <si>
    <t>ERAF projekts "Jelgavas Amatu vidusskolas infrastruktūras uzlabošana un mācību aprīkojuma modernizācija, 2.kārta"</t>
  </si>
  <si>
    <t>09.510.</t>
  </si>
  <si>
    <t>Interešu un profesionālās ievirzes izglītība</t>
  </si>
  <si>
    <t>Jelgavas Mākslas skolas darbības nodrošināšana</t>
  </si>
  <si>
    <t>09.513.</t>
  </si>
  <si>
    <t>Jelgavas sporta skolu darbības nodrošināšana</t>
  </si>
  <si>
    <t>09.520.</t>
  </si>
  <si>
    <t>Pedagogu profesionālās meistarības pilnveidošana, rezidentu apmācība, tālākizglītība, Valsts administrācijas skolas nodrošinātā apmācība</t>
  </si>
  <si>
    <t>Nodibinājums "Izglītības atbalsta fonds"</t>
  </si>
  <si>
    <t>09.522.</t>
  </si>
  <si>
    <t>09.530.</t>
  </si>
  <si>
    <t>Līmeņos nedefinēta izglītība pieaugušajiem</t>
  </si>
  <si>
    <t>09.531.</t>
  </si>
  <si>
    <t>PI "Zemgales reģionālais kompetenču attīstības centrs" darbības nodrošināšana</t>
  </si>
  <si>
    <t>09.532.</t>
  </si>
  <si>
    <t>PI "Zemgales reģionālais kompetenču attīstības centrs" projektu īstenošana</t>
  </si>
  <si>
    <t>09.533.</t>
  </si>
  <si>
    <t>ESF projekts "Proti un dari"</t>
  </si>
  <si>
    <t>09.534.</t>
  </si>
  <si>
    <t>ESF projekts "Nodarbināto personu profesionālās kompetences pilnveide"</t>
  </si>
  <si>
    <t>09.810.</t>
  </si>
  <si>
    <t>Pārējā izglītības vadība</t>
  </si>
  <si>
    <t>09.811.</t>
  </si>
  <si>
    <t>PI "Jelgavas izglītības pārvalde" darbības nodrošināšana</t>
  </si>
  <si>
    <t>09.812.</t>
  </si>
  <si>
    <t>PI "Jelgavas izglītības pārvalde" projektu īstenošana</t>
  </si>
  <si>
    <t>09.812.3.</t>
  </si>
  <si>
    <t>PI "Jelgavas izglītības pārvalde" iekļaujošas izglītības atbalsta centrs</t>
  </si>
  <si>
    <t>09.820.</t>
  </si>
  <si>
    <t>Pārējie citur neklasificētie izglītības pakalpojumi</t>
  </si>
  <si>
    <t>10.120.</t>
  </si>
  <si>
    <t>Sociālā aizsardzība invaliditātes gadījumā</t>
  </si>
  <si>
    <t>10.121.</t>
  </si>
  <si>
    <t>Invalīdu rehabilitācijas pasākumi, invalīdu transports u.c. kompensācijas</t>
  </si>
  <si>
    <t>10.122.</t>
  </si>
  <si>
    <t>Dienas centrs "Harmonija"</t>
  </si>
  <si>
    <t>10.123.</t>
  </si>
  <si>
    <t>Dienas centrs "Integra"</t>
  </si>
  <si>
    <t>10.124.</t>
  </si>
  <si>
    <t>Dienas centrs "Atbalsts"</t>
  </si>
  <si>
    <t>10.125.</t>
  </si>
  <si>
    <t>Grupu dzīvokļi</t>
  </si>
  <si>
    <t>10.127.</t>
  </si>
  <si>
    <t>ESF projekts "Atver sirdi Zemgalē"</t>
  </si>
  <si>
    <t>10.200.</t>
  </si>
  <si>
    <t>Atbalsts gados veciem cilvēkiem</t>
  </si>
  <si>
    <t>10.201.</t>
  </si>
  <si>
    <t>Sociālās un medicīniskās aprūpes centrs</t>
  </si>
  <si>
    <t>10.202.</t>
  </si>
  <si>
    <t>Palīdzība veciem cilvēkiem</t>
  </si>
  <si>
    <t>10.400.</t>
  </si>
  <si>
    <t>Atbalsts ģimenēm ar bērniem</t>
  </si>
  <si>
    <t>10.402.</t>
  </si>
  <si>
    <t>Sociālā palīdzība ģimenēm ar bērniem un vardarbībā cietušo bērnu rehabilitācija</t>
  </si>
  <si>
    <t>10.403.</t>
  </si>
  <si>
    <t>10.500.</t>
  </si>
  <si>
    <t>Atbalsts bezdarba gadījumā</t>
  </si>
  <si>
    <t>10.504.</t>
  </si>
  <si>
    <t>10.600.</t>
  </si>
  <si>
    <t>Mājokļa atbalsts</t>
  </si>
  <si>
    <t>10.601.</t>
  </si>
  <si>
    <t>10.700.</t>
  </si>
  <si>
    <t>Pārējais citur neklasificētais atbalsts sociāli atstumtām personām</t>
  </si>
  <si>
    <t>10.701.</t>
  </si>
  <si>
    <t>Sociālā māja un sociālie dzīvokļi</t>
  </si>
  <si>
    <t>10.704.</t>
  </si>
  <si>
    <t>GMI pabalsts, mirušo apbedīšanas izdevumi un citi naudas maksājumi maznodrošinātām un neaizsargātām personām</t>
  </si>
  <si>
    <t>10.705.2.</t>
  </si>
  <si>
    <t>JSLP Naktspatversme</t>
  </si>
  <si>
    <t>10.707.</t>
  </si>
  <si>
    <t>Higiēnas centrs</t>
  </si>
  <si>
    <t>10.710.</t>
  </si>
  <si>
    <t>Sociālo pakalpojumu centrs bērniem</t>
  </si>
  <si>
    <t>10.711.</t>
  </si>
  <si>
    <t>10.900.</t>
  </si>
  <si>
    <t>Pārējā citur neklasificētā sociālā aizsardzība</t>
  </si>
  <si>
    <t>10.911.</t>
  </si>
  <si>
    <t>PI "Jelgavas sociālo lietu pārvalde" darbības nodrošināšana</t>
  </si>
  <si>
    <t>10.921.</t>
  </si>
  <si>
    <t>Pabalsti ārkārtas gadījumos, citi pabalsti un kompensācijas</t>
  </si>
  <si>
    <t>10.922.</t>
  </si>
  <si>
    <t>Braukšanas maksas atvieglojumi skolēniem sabiedriskajā transportā</t>
  </si>
  <si>
    <t>SIA "Medicīnas sabiedrība OPTIMA -1"</t>
  </si>
  <si>
    <t>PAVISAM IZDEVUMI ( I+II)</t>
  </si>
  <si>
    <t>PAVISAM KOPĀ</t>
  </si>
  <si>
    <t>Nr. p.k</t>
  </si>
  <si>
    <t>Mērķis</t>
  </si>
  <si>
    <t xml:space="preserve">Aizdevuma </t>
  </si>
  <si>
    <t>Atmaksas</t>
  </si>
  <si>
    <t>Maksājumi</t>
  </si>
  <si>
    <t>SAISTĪBAS</t>
  </si>
  <si>
    <t>summa, EUR</t>
  </si>
  <si>
    <t>periods</t>
  </si>
  <si>
    <t>KOPĀ</t>
  </si>
  <si>
    <t>Valsts kase</t>
  </si>
  <si>
    <t>Investīciju projektu īstenošanai (saistību pārjaunojums)</t>
  </si>
  <si>
    <t>06.07.2018.-20.11.2034.</t>
  </si>
  <si>
    <t>Pamatsumma</t>
  </si>
  <si>
    <t>A2/1/18/441</t>
  </si>
  <si>
    <t>23.01.2015. - 20.01.2035</t>
  </si>
  <si>
    <t>A2/1/15/13</t>
  </si>
  <si>
    <t>23.01.2015. - 20.01.2035.</t>
  </si>
  <si>
    <t>A2/1/15/14</t>
  </si>
  <si>
    <t>20.05.2015. - 20.05.2035.</t>
  </si>
  <si>
    <t>A2/1/15/241</t>
  </si>
  <si>
    <t>Valsts Kase</t>
  </si>
  <si>
    <t>18.06.2015.- 20.06.2035.</t>
  </si>
  <si>
    <t>A2/1/15/322</t>
  </si>
  <si>
    <t>02.10.2015.-20.09.2035.</t>
  </si>
  <si>
    <t>A2/1/15/569</t>
  </si>
  <si>
    <t>07.06.2017.-20.03.2047.</t>
  </si>
  <si>
    <t>A2/1/17/364</t>
  </si>
  <si>
    <t>07.06.2017.-20.11.2036.</t>
  </si>
  <si>
    <t>A2/1/17/365</t>
  </si>
  <si>
    <t>03.07.2017.-20.11.2036.</t>
  </si>
  <si>
    <t>A2/1/17/467</t>
  </si>
  <si>
    <t>A2/1/17/465</t>
  </si>
  <si>
    <t>10.08.2017.-20.11.2036.</t>
  </si>
  <si>
    <t>A2/1/17/588</t>
  </si>
  <si>
    <t>31.08.2017.-20.03.2047.</t>
  </si>
  <si>
    <t>A2/1/17/632</t>
  </si>
  <si>
    <t>31.08.2017.-20.08.2037.</t>
  </si>
  <si>
    <t>A2/1/17/633</t>
  </si>
  <si>
    <t>25.10.2017.-20.10.2037.</t>
  </si>
  <si>
    <t>A2/1/17/774</t>
  </si>
  <si>
    <t>08.03.2018.-20.11.2037.</t>
  </si>
  <si>
    <t>A2/1/18/92</t>
  </si>
  <si>
    <t>ERAF projekts "Jelgavas pilsētas pašvaldības PII "Sprīdītis" energoefektivitātes paaugstināšana"</t>
  </si>
  <si>
    <t>01.06.2018.-20.03.2048.</t>
  </si>
  <si>
    <t>A2/1/18/296</t>
  </si>
  <si>
    <t>Pašvaldības izglītības iestāžu investīciju projekts "Jelgavas 2.internātpamatskolas rekonstrukcija 2.kārta"</t>
  </si>
  <si>
    <t>05.07.2018.-20.03.2038.</t>
  </si>
  <si>
    <t>A2/1/18/434</t>
  </si>
  <si>
    <t>Pašvaldības izglītības iestāžu investīciju projekts "Jelgavas pilsētas pašvaldības ēkas Zemgales prospekts 7 pārbūve un jaunais būvapjoms (piebūve)", I un III kārta ("Junda" izvietošanai)</t>
  </si>
  <si>
    <t>05.07.2018.-20.03.2048.</t>
  </si>
  <si>
    <t>A2/1/18/435</t>
  </si>
  <si>
    <t>A2/1/18/436</t>
  </si>
  <si>
    <t>Valsts budžeta līdzfinansēta kultūras iestādes investīciju projekta "Publiskās slidotavas un brīvdabas estrādes Pasta salā jumtu pārsegumu projektēšana, izbūve un autoruzraudzība" pabeigšanai</t>
  </si>
  <si>
    <t>07.08.2018.- 20.06.2048.</t>
  </si>
  <si>
    <t>A2/1/18/541</t>
  </si>
  <si>
    <t>07.08.2018.- 20.03.2048.</t>
  </si>
  <si>
    <t>A2/1/18/542</t>
  </si>
  <si>
    <t>Projekts "Asfaltbetona seguma izbūve Romas ielā posmā no Zemeņu ielas līdz Turaidas ielai"</t>
  </si>
  <si>
    <t>07.08.2018.- 20.03.2038.</t>
  </si>
  <si>
    <t>A2/1/18/543</t>
  </si>
  <si>
    <t>30.08.2018.- 20.06.2038.</t>
  </si>
  <si>
    <t>A2/1/18/602</t>
  </si>
  <si>
    <t>30.08.2018. -20.06.2028.</t>
  </si>
  <si>
    <t>A2/1/18/603</t>
  </si>
  <si>
    <t>Izglītības iestādes investīciju projekts "Jelgavas pilsētas pašvaldības PII "Gaismina" telpu vienkāršota atjaunošana"</t>
  </si>
  <si>
    <t>30.08.2018. - 20.06.2038.</t>
  </si>
  <si>
    <t>A2/1/18/604</t>
  </si>
  <si>
    <t>Pašvaldības prioritārais investīciju projekts "Jelgavas Kultūras nama ēkas fasādes, pamatu vertikālās hidroizolācijas atjaunošana un teritorijas sakārtošana"</t>
  </si>
  <si>
    <t>10.10.2018. -20.09.2038.</t>
  </si>
  <si>
    <t>A2/1/18/709</t>
  </si>
  <si>
    <t>SIA "Jelgavas ūdens" pamatkapitāla palielināšanai projektam "Ūdenssaimniecības pakalpojumu attīstība Jelgavā, V kārta"</t>
  </si>
  <si>
    <t>22.10.2018. - 20.09.2047.</t>
  </si>
  <si>
    <t>A2/1/18/736</t>
  </si>
  <si>
    <t>Lat -Lit pārrobežu sadarbības projekts "Tehniskās bāzes un operatīvo dienestu speciālistu fziskās kapacitātes uzlabošana Latvijas un Lietuvas pierobežas reģionā (All for safety)"</t>
  </si>
  <si>
    <t>18.12.2018. - 20.09.2028.</t>
  </si>
  <si>
    <t>A2/1/18/891</t>
  </si>
  <si>
    <t>Kultūras iestāžu investīciju projekts "Jelgavas Kultūras nama ēkas fasādes, pamatu vertikālās hidroizolācijas atjaunošana un teritorijas sakārtošana"</t>
  </si>
  <si>
    <t>19.12.2018. -20.09.2038.</t>
  </si>
  <si>
    <t>02.04.2019.- 20.03.2049.</t>
  </si>
  <si>
    <t>A2/1/19/84</t>
  </si>
  <si>
    <t>17.05.2019.- 20.03.2049.</t>
  </si>
  <si>
    <t>A2/1/19/156</t>
  </si>
  <si>
    <t>19.06.2019.-20.03.2049.</t>
  </si>
  <si>
    <t>A2/1/19/231</t>
  </si>
  <si>
    <t>KF projekts "Loka maģistrāles pārbūve posmā no Kalnciema ceļa līdz Jelgavas administratīvajai robežai"</t>
  </si>
  <si>
    <t>18.09.2019.-20.03.2049.</t>
  </si>
  <si>
    <t>A2/1/19/337</t>
  </si>
  <si>
    <t>A2/1/19/339</t>
  </si>
  <si>
    <t>VB līdzfinansēts projekts "Miera ielas un Aizsargu ielas asfalta seguma atjaunošana un tilta pār Platones upi pārbūve"</t>
  </si>
  <si>
    <t>A2/1/19/340</t>
  </si>
  <si>
    <t>04.08.2020.-20.07.2040.</t>
  </si>
  <si>
    <t>A2/1/20/501</t>
  </si>
  <si>
    <t>A2/1/20/502</t>
  </si>
  <si>
    <t>EKII projekts "Siltumnīcefekta gāzu emisiju samazināšana ar viedajām pilsētvides tehnoloģijām Jelgavā"</t>
  </si>
  <si>
    <t>20.08.2020.- 20.06.2050.</t>
  </si>
  <si>
    <t>A2/1/20/569</t>
  </si>
  <si>
    <t>Projekts "Pirmsskolas izglītības iestādes Brīvības bulvārī 31A, Jelgavā, būvniecība"</t>
  </si>
  <si>
    <t>02.10.2020.- 20.06.2050.</t>
  </si>
  <si>
    <t>A2/1/20/681</t>
  </si>
  <si>
    <t>Projekts "Asfaltbetona seguma atjaunošana Ruļļu ielas posmā no Salnas ielas līdz Viskaļu ielai"</t>
  </si>
  <si>
    <t>02.10.2020.-20.09.2040.</t>
  </si>
  <si>
    <t>A2/1/20/682</t>
  </si>
  <si>
    <t>Projekts "Gājēju ietves izbūve Kalnciema ceļa posmam no Rīgas ielas līdz Loka maģistrālei"</t>
  </si>
  <si>
    <t>02.10.2020.- 20.06.2040.</t>
  </si>
  <si>
    <t>A2/1/20/683</t>
  </si>
  <si>
    <t>03.12.2020.-20.11.2040.</t>
  </si>
  <si>
    <t>A2/1/20/846</t>
  </si>
  <si>
    <t xml:space="preserve">Kopā procentu maksājumi         </t>
  </si>
  <si>
    <t>Aizņēmumu saistības kopā</t>
  </si>
  <si>
    <t xml:space="preserve"> Saistību īpatsvars</t>
  </si>
  <si>
    <t>%</t>
  </si>
  <si>
    <t xml:space="preserve"> Saistību īpatsvars bez priekšfinansējuma atmaksām</t>
  </si>
  <si>
    <t>Pamatsummu pieaugums pret iepriekšējo gadu</t>
  </si>
  <si>
    <t>Kopējo saistību pieaugums pret iepriekšējo gadu</t>
  </si>
  <si>
    <t>03.12.2010. - 20.12.2030.</t>
  </si>
  <si>
    <t>A/1/10/1025</t>
  </si>
  <si>
    <t>18.12.2013. - 20.12.2030.</t>
  </si>
  <si>
    <t>G/13/1206</t>
  </si>
  <si>
    <t>16.03.2020.-20.02.2050.</t>
  </si>
  <si>
    <t>G/20/86</t>
  </si>
  <si>
    <t>Galvojumu saistības kopā</t>
  </si>
  <si>
    <t>Pašvaldības budžeta ieņēmumos saņemtais iedzīvotāju ienākuma nodoklis no Valsts kases sadales konta</t>
  </si>
  <si>
    <t>Nodokļi par pakalpojumiem un precēm</t>
  </si>
  <si>
    <t>Ieņēmumi Eiropas strukturālo un investīciju fondu projektu un pasākumu īstenošanai</t>
  </si>
  <si>
    <t>Ieņēmumi no citu Eiropas Savienības politiku instrumentu līdzfinansēto projektu un pasākumu īstenošanas, kas nav Eiropas struktūrālie un investīciju fondi, un citu valstu finanšu palīdzības programmu īstenošanas</t>
  </si>
  <si>
    <t>Ieņēmumi par nedzīvojamā nekustamā īpašuma nomu</t>
  </si>
  <si>
    <t>21.490.</t>
  </si>
  <si>
    <t>Citi iepriekš neklasificētie pašu ieņēmumi</t>
  </si>
  <si>
    <t>03.207.</t>
  </si>
  <si>
    <t>ERAF projekts "Jelgavas pašvaldības operatīvās informācijas centra ēkas Sarmas ielā 4 energoefektivitātes paaugstināšana"</t>
  </si>
  <si>
    <t>Sabiedriskā transporta pakalpojumu nodrošināšana Jelgavas pilsētas administratīvajā teritorijā</t>
  </si>
  <si>
    <t>ERAF projekts "Kultūras mantojuma saglabāšana un attīstība Jelgavas pilsētā"</t>
  </si>
  <si>
    <t>04.738.</t>
  </si>
  <si>
    <t>04.739.</t>
  </si>
  <si>
    <t>ERAF projekts "Pilssalas ielas degradētās teritorijas sakārtošana"</t>
  </si>
  <si>
    <t>Finansējums pašvaldības kapitālsabiedrībām vides aizsardzības pasākumu īstenošanai</t>
  </si>
  <si>
    <t>09.519.04.</t>
  </si>
  <si>
    <t>ERAF projekts "Sabiedrībā balstītu sociālo pakalpojumu infrastruktūras izveide, Jelgavā"</t>
  </si>
  <si>
    <t>10.712.</t>
  </si>
  <si>
    <t>ERAF "Daudzfunkcionālā sociālo pakalpojumu centra ēkas Zirgu ielā 47a, Jelgavā, energoefektivitātes paaugstināšana"</t>
  </si>
  <si>
    <t>Projekts "Jelgavas 1.internātpamatskolas rekonstrukcijas darbi"</t>
  </si>
  <si>
    <t>Projekts "Jelgavas pilsētas PPII Skautu ielā 1 rekonstrukcijas darbi"</t>
  </si>
  <si>
    <t>Projekts "Siltumnīcefektu gāzu emisiju samazināšana" (Pilsētsaimniecība)</t>
  </si>
  <si>
    <t>Projekts "Jelgavas izglītības pārvaldes ēkas jumta rekonstrukcija"</t>
  </si>
  <si>
    <t>Projekts "Energoefektīvu risinājumu piemērošana ilgtspējīgām ēkām Jelgavā - sporta halle"</t>
  </si>
  <si>
    <t>Prioritārais projekts "Jelgavas kultūras nama iekšējo komunikāciju atjaunošana"</t>
  </si>
  <si>
    <t>Projekts "Atmodas ielas posma no Dobeles šosejas līdz Dambja ielai asfalta seguma atjaunošana"</t>
  </si>
  <si>
    <t>Izglītības iestāžu investīciju projekts "Jelgavas pilsētas PPII "Zemenīte" telpu pārbūve"</t>
  </si>
  <si>
    <t xml:space="preserve">Izglītības iestāžu investīciju projekts  "Jelgavas 1.internātpamatskolas jumta konstrukciju nomaiņa" </t>
  </si>
  <si>
    <t>SIA "Jelgavas ūdens" pamatkapitāla palielināšana projekta "Ūdenssaimniecības pakalpojumu attīstība Jelgavā, V kārta" īstenošanai</t>
  </si>
  <si>
    <t>Izglītības iestāžu investīciju projekts "Jelgavas pilsētas PPII "Rotaļa" ēkas rekonstrukcija"</t>
  </si>
  <si>
    <t>Projekts "Asfaltbetona seguma atjaunošana, lietus ūdens kanalizācijas un ūdensvada tīklu nomaiņa Akadēmijas ielas posmā no Raiņa līdz Lielai ielai"</t>
  </si>
  <si>
    <t>Projekts "Muzeja jumta skārda seguma nomaiņa un bēniņu pārseguma siltināšana"</t>
  </si>
  <si>
    <t>Projekts "Jelgavas Valsts ģimnāzijas pārbūves papilddarbi"</t>
  </si>
  <si>
    <t>Latvijas -  Lietuvas pārrobežu sadarbības programmas projekts "Civilās aizsardzības sistēmas pilnveidošana Jelgavas un Šauļu pilsētās (C-System)</t>
  </si>
  <si>
    <t>ERAF projekts “Jelgavas pilsētas pašvaldības policijas ēkas energoefektivitātes paaugstināšana”</t>
  </si>
  <si>
    <t xml:space="preserve">Kopā pamatsummu maksājumi         </t>
  </si>
  <si>
    <t>Aizņēmumu līgumsumma kopā</t>
  </si>
  <si>
    <t>Pašu ieņēmumi saistību īpatsvara aprēķinam</t>
  </si>
  <si>
    <t>A2/1/21/121</t>
  </si>
  <si>
    <t>08.04.2021.-20.03.2051.</t>
  </si>
  <si>
    <t>04.744.</t>
  </si>
  <si>
    <t>04.745.</t>
  </si>
  <si>
    <t>Mājokļu attīstība</t>
  </si>
  <si>
    <t>06.100.</t>
  </si>
  <si>
    <t>06.101.</t>
  </si>
  <si>
    <t>Projekts "Pašvaldības īres dzīvokļu izveidošana Stacijas ielā 13, Jelgavā"</t>
  </si>
  <si>
    <t>Nodibinājums "J.Bisenieka fonds"</t>
  </si>
  <si>
    <t>08.108.</t>
  </si>
  <si>
    <t>Nacionālās sporta bāzes SIA "Zemgales olimpiskais centrs"-uzturēšanas izdevumu segšana</t>
  </si>
  <si>
    <t>Pašvaldības teritorijas, kapsētu un mežu apsaimniekošana</t>
  </si>
  <si>
    <t>A2/1/21/260</t>
  </si>
  <si>
    <t>A2/1/21/261</t>
  </si>
  <si>
    <t>01.06.2021.- 20.05.2041.</t>
  </si>
  <si>
    <t>01.06.2021.- 20.03.2051.</t>
  </si>
  <si>
    <t>01.116.</t>
  </si>
  <si>
    <t>Projekts "Ēkas Pasta ielā 32, Jelgavā, pārbūve par dzimtsarakstu nodaļu"</t>
  </si>
  <si>
    <t>PI "Jelgavas pašvaldības policija" darbības nodrošināšana</t>
  </si>
  <si>
    <t>PI "Jelgavas pašvaldības operatīvās informācijas centrs" darbības nodrošināšana</t>
  </si>
  <si>
    <t>28.07.2021. -20.06.2051.</t>
  </si>
  <si>
    <t>A2/1/21/423</t>
  </si>
  <si>
    <t>28.07.2021. -22.07.2041.</t>
  </si>
  <si>
    <t>A2/1/21/424</t>
  </si>
  <si>
    <t>Projekts "Jelgavas pilsētas pašvaldības pirmsskolas izglītības iestādes "Pasaciņa" virtuves telpu atjaunošana"</t>
  </si>
  <si>
    <t xml:space="preserve">ERAF projekts Jelgavas pilsētas pašvaldības izglītības iestādes  “Jelgavas Tehnoloģiju vidusskola” energoefektivitātes paaugstināšana” </t>
  </si>
  <si>
    <t>ERAF projekts "Tehniskās infrastruktūras sakārtošana uzņēmējdarbības attīstībai degradētajā teritorijā, 3.kārta”</t>
  </si>
  <si>
    <t xml:space="preserve">         JELGAVAS VALSTSPILSĒTAS PAŠVALDĪBAS ILGTERMIŅA SAISTĪBAS</t>
  </si>
  <si>
    <t>A2/1/21/496</t>
  </si>
  <si>
    <t>A2/1/21/497</t>
  </si>
  <si>
    <t>A2/1/21/498</t>
  </si>
  <si>
    <t>A2/1/21/499</t>
  </si>
  <si>
    <t>A2/1/21/513</t>
  </si>
  <si>
    <t>A2/1/21/558</t>
  </si>
  <si>
    <t>Projekts "Tilta izbūve pār Platones upi Bauskas ielā, Jelgavā" (COVID)</t>
  </si>
  <si>
    <t>21.411.</t>
  </si>
  <si>
    <t>Citi ieņēmumi no palīgražošanas</t>
  </si>
  <si>
    <t>04.510.531.</t>
  </si>
  <si>
    <t>Projekts "Tilta izbūve pār Platones upi Bauskas ielā, Jelgavā"</t>
  </si>
  <si>
    <t>21.193.</t>
  </si>
  <si>
    <t>Ieņēmumi par saņemtajām atmaksām par iepriekšējos saimnieciskajos gados pārskaitītajiem līdzekļiem Eiropas Savienības politiku instrumentu un pārējās ārvalstu finanšu palīdzības līdzfinansēto projektu (pasākumu)  īstenošanai</t>
  </si>
  <si>
    <t>A2/1/21/648</t>
  </si>
  <si>
    <t>A2/1/21/649</t>
  </si>
  <si>
    <t>27.10.2021.-21.10.2041.</t>
  </si>
  <si>
    <t>27.08.2021-20.08.2041.</t>
  </si>
  <si>
    <t>29.09.2021- 22.09.2031.</t>
  </si>
  <si>
    <t>Būvprojekta "Industriālā parka ielu infrastruktūras izveide Jelgavā" izstrāde (COVID)</t>
  </si>
  <si>
    <t>21.381.</t>
  </si>
  <si>
    <t>ESF projekts "Veselības veicināšana Jelgavā"</t>
  </si>
  <si>
    <t>Būvprojektu“Miera ielas un esošā Miera ielas, Aizsargu ielas un Bauskas ielas rotācijas apļa pārbūve, Jelgavā”, “Aizsargu ielas pārbūve, Jelgavā” un “Bauskas ielas pārbūve, Jelgavā” izstrāde (COVID)</t>
  </si>
  <si>
    <t>A2/1/21/716</t>
  </si>
  <si>
    <t>A2/1/21/717</t>
  </si>
  <si>
    <t>JELGAVAS VALSTSPILSĒTAS PAŠVALDĪBAS 2022.GADA BUDŽETS</t>
  </si>
  <si>
    <t>Plāns 2022.gadam</t>
  </si>
  <si>
    <t>Naudas līdzekļu atlikums uz 31.12.2021.</t>
  </si>
  <si>
    <t>Interreg V-A Latvijas-Lietuvas pārrobežu sadarbības programmas projekts "Pilsētas iedzīvotāju kartes pieejamo pakalpojumu pilnveidošana Jelgavā un Šauļos"</t>
  </si>
  <si>
    <t>Līdzekļi neparedzētiem gadījumiem</t>
  </si>
  <si>
    <t>04.510.532.</t>
  </si>
  <si>
    <t>Projekts "Jelgavas 4.sākumskolas automašīnu stāvlaukuma paplašināšana, teritorijas daļēja labiekārtošana, satiksmes drošības uzlabošana"</t>
  </si>
  <si>
    <t>Interreg V-A Latvijas-Lietuvas pārrobežu sadarbības programmas projekts "Kopīga pārrobežu tūrisma piedāvājuma "Saules ceļš" izveide"</t>
  </si>
  <si>
    <t>04.746.</t>
  </si>
  <si>
    <t>"Apvārsnis 2020" programmas projekts "IMPETUS"</t>
  </si>
  <si>
    <t>Pilsētas sanitārā tīrīšana</t>
  </si>
  <si>
    <t>Jelgavas pirmsskolas izglītības iestāžu darbības nodrošināšana</t>
  </si>
  <si>
    <t>Jelgavas speciālo skolu un speciālās pirmsskolas izglītības programmas darbības nodrošināšana</t>
  </si>
  <si>
    <t>Interreg V-A Latvijas-Lietuvas pārrobežu sadarbības programmas projekts "Tehniskās bāzes un operatīvo dienestu speciālistu fiziskās kapacitātes uzlabošana Latvijas un Lietuvas pierobežas reģionā"</t>
  </si>
  <si>
    <t>Pārējie interešu izglītības pasākumi, t.sk. Jaunrades nama "Junda" darbības nodrošināšana</t>
  </si>
  <si>
    <t>Interreg V-A Latvijas-Lietuvas pārrobežu sadarbības programmas projekts "Sociālajam riskam pakļauto bērnu un jauniešu integrācija Jelgavas un Šauļu pilsētas pašvaldībās"</t>
  </si>
  <si>
    <t>09.640.</t>
  </si>
  <si>
    <t>Izglītojamo pārējie papildu pakalpojumi</t>
  </si>
  <si>
    <t>09.640.1.</t>
  </si>
  <si>
    <t>Asistentu pakalpojumu nodrošināšana</t>
  </si>
  <si>
    <t>09.823.</t>
  </si>
  <si>
    <t>10.125.1.</t>
  </si>
  <si>
    <t>DI Grupu dzīvokļi</t>
  </si>
  <si>
    <t>Mājokļa pabalsts un pabalsts individuālās apkures nodrošināšanai</t>
  </si>
  <si>
    <t>10.713.</t>
  </si>
  <si>
    <t>Specializētās darbnīcas</t>
  </si>
  <si>
    <t>10.714.</t>
  </si>
  <si>
    <t>DI Servisa pakalpojumi</t>
  </si>
  <si>
    <t>"Apvārsnis 2020" programmas projekts "Wellbased"</t>
  </si>
  <si>
    <t>08.600.</t>
  </si>
  <si>
    <t>Pārējie citur neklasificētie sporta, atpūtas, kultūras un reliģijas pakalpojumi</t>
  </si>
  <si>
    <t>08.621.</t>
  </si>
  <si>
    <t>PI "Sabiedriskais centrs" darbības nodrošināšana</t>
  </si>
  <si>
    <t>5. pielikums</t>
  </si>
  <si>
    <t>2037-2052</t>
  </si>
  <si>
    <t>Projekts "Romas ielas asfaltbetona seguma izbūve no Turaidas ielas līdz pilsētas administratīvajai robežai"</t>
  </si>
  <si>
    <t>Projekts "Satiksmes ielas posma no Meiju ceļa līdz Ganību ielai braucamās daļas seguma atjaunošana”</t>
  </si>
  <si>
    <t>Projekts "Īres dzīvokļu izveidošana Stacijas ielā 13, Jelgavā"</t>
  </si>
  <si>
    <t>26.08.2021.-20.08.2041.</t>
  </si>
  <si>
    <t>KF projekts "Videi draudzīgas sabiedriskā transporta inrastruktūras attīstība Jelgavā"" - Riska likme</t>
  </si>
  <si>
    <t>ERAF projekts“Jelgavas pašvaldības operatīvās informācijas centra ēkas Sarmas ielā 4 energoefektivitātes paaugstināšana”</t>
  </si>
  <si>
    <t>26.08.2021.-20.06.2051.</t>
  </si>
  <si>
    <t>Pašvaldības prioritārais investīciju projekts "Jaunrades nama "Junda" struktūrvienības "Lediņi" telpu vienkāršota atjaunošana, gāzes apgāde un teritorijas labiekārtošana, Lediņu ceļā 1, Jelgavā"</t>
  </si>
  <si>
    <t>Projekts "Jaunrades nama "Junda" struktūrvienības "Lediņi" telpu vienkāršota atjaunošana, gāzes apgāde un teritorijas labiekārtošana, Lediņu ceļā 1, Jelgavā" (COVID)</t>
  </si>
  <si>
    <t>26.11.2021.- 20.11.2026.</t>
  </si>
  <si>
    <t>26.11.2021.-20.09.2046.</t>
  </si>
  <si>
    <t>23.12.2021.-21.12.2046.</t>
  </si>
  <si>
    <t>A2/1/21/774</t>
  </si>
  <si>
    <t>Pamatsummu atmaksa 2022.g. pēc grafika</t>
  </si>
  <si>
    <t>Galvojumi:</t>
  </si>
  <si>
    <t>SAISTĪBAS KOPĀ:</t>
  </si>
  <si>
    <t>ERAF projekts "Uzņēmējdarbības atbalsta pasākumi Zemgales plānošanas reģionā"</t>
  </si>
  <si>
    <t>21.429.</t>
  </si>
  <si>
    <t>Pārējie iepriekš neklasificētie īpašiem mērķiem noteiktie ieņēmumi</t>
  </si>
  <si>
    <t>09.219.9.</t>
  </si>
  <si>
    <t>ERAF projekts "Jelgavas pamatskolas "Valdeka"-attīstības centra skolas ēkas energoefektivitātes paaugstināšana"</t>
  </si>
  <si>
    <t>09.535.</t>
  </si>
  <si>
    <t xml:space="preserve">ERAF projekts “Ēkas daļas Svētes ielā 33, Jelgavā energoefektivitātes paaugstināšana” </t>
  </si>
  <si>
    <t>Prioritārais investīciju projekts "Lifta izbūve Jelgavas pilsētas bibliotēkā"</t>
  </si>
  <si>
    <t>28.03.2022.-20.03.2042.</t>
  </si>
  <si>
    <t>A2/1/22/58</t>
  </si>
  <si>
    <t>ERAF projekts "Jelgavas pilsētas pašvaldības ēkas Zemgales prospekts 7 energoefektivitātes paaugstināšana" II kārta</t>
  </si>
  <si>
    <t xml:space="preserve">Latvijas – Lietuvas pārrobežu sadarbības programmas projekta (Nr.LLI-491) "Sociālajam riskam pakļauto bērnu un jauniešu integrācija Jelgavas un Šauļu pilsētas pašvaldībās (Risk Children)" </t>
  </si>
  <si>
    <t>A2/1/22/59</t>
  </si>
  <si>
    <t>Latvijas – Lietuvas pārrobežu sadarbības programmas projekta (Nr.LLI-464) "Kopīga pārrobežu tūrisma piedāvājuma "Saules ceļš" izveide"</t>
  </si>
  <si>
    <t>28.03.2022.-22.03.2032.</t>
  </si>
  <si>
    <t>A2/1/22/60</t>
  </si>
  <si>
    <t>ERAF projekta "Kultūras mantojuma saglabāšana un attīstība Jelgavas pilsētā"</t>
  </si>
  <si>
    <t>28.03.2022.-20.03.2052.</t>
  </si>
  <si>
    <t>A2/1/22/61</t>
  </si>
  <si>
    <t>ERAF projekts "Daudzfunkcionālā sociālo pakalpojumu centra ēkas Zirgu ielā 47a, Jelgavā, energoefektivitātes paaugstināšana"</t>
  </si>
  <si>
    <t>Prioritārais projekts "Jelgavas 4.sākumskolas automašīnu stāvlaukuma paplašināšana, teritorijas daļēja labiekārtošana, satiksmes drošības uzlabošana"</t>
  </si>
  <si>
    <t>A2/1/22/92</t>
  </si>
  <si>
    <t>A2/1/22/93</t>
  </si>
  <si>
    <t>Galvojumu līgumsumma kopā</t>
  </si>
  <si>
    <t>G/22/20</t>
  </si>
  <si>
    <t>10.05.2022.-20.03.2052.</t>
  </si>
  <si>
    <t>Līgums</t>
  </si>
  <si>
    <t>09.519.05.</t>
  </si>
  <si>
    <t>Pašvaldības investīciju projekts "Jelgavas Bērnu un jaunatnes sporta skolas infrastruktūras attīstība"</t>
  </si>
  <si>
    <t>A2/1/22/119</t>
  </si>
  <si>
    <t>27.05.2022.-20.05.2042.</t>
  </si>
  <si>
    <t>A2/1/22/154</t>
  </si>
  <si>
    <t>27.06.2022.-20.03.2052.</t>
  </si>
  <si>
    <t>SIA "Jelgavas Poliklīnika" norobežojošo konstrukciju energoefektivitātes paaugstināšana</t>
  </si>
  <si>
    <t>10.02.2022.- 20.01.2042.</t>
  </si>
  <si>
    <t>10.06.2022.-20.05.2042.</t>
  </si>
  <si>
    <t>G/22/147</t>
  </si>
  <si>
    <t>PI "Jelgavas Pilsētas bibliotēka" darbības nodrošināšana</t>
  </si>
  <si>
    <t>PI "Jelgavas valstspilsētas bāriņtiesa" darbības nodrošināšana</t>
  </si>
  <si>
    <t>Prioritārais investīciju projekts "Lifta izbūve Jelgavas pilsētas bibliotēkā" (sadārdzinājums)</t>
  </si>
  <si>
    <t>17.08.2022.-21.07.2042.</t>
  </si>
  <si>
    <t>A2/1/22/312</t>
  </si>
  <si>
    <t>Projekts "Jelgavas valstspilsētas pašvaldības iestādes "Jelgavas izglītības pārvalde" ēkas telpu vienkāršotā atjaunošana" (COVID)</t>
  </si>
  <si>
    <t>A2/1/22/313</t>
  </si>
  <si>
    <t>20.09.2022.-20.06.2052.</t>
  </si>
  <si>
    <t>A2/1/22/396</t>
  </si>
  <si>
    <t>10.05.2022-20.03.2042.</t>
  </si>
  <si>
    <t>04.747.</t>
  </si>
  <si>
    <t>Eiropas inovāciju un tehnoloģiju institūta iniciatīvas "Pilsētu mobilitāte" projekts "Mēs risinām - pilsoņu iesaistīšana"</t>
  </si>
  <si>
    <t>09.824.</t>
  </si>
  <si>
    <t>Projekts "Kontakts Jelgavā"</t>
  </si>
  <si>
    <t>10.924.</t>
  </si>
  <si>
    <t>Atbalsts mājsaimniecībām energoresursu izdevumu kompensēšanai</t>
  </si>
  <si>
    <t>A2/1/18/899</t>
  </si>
  <si>
    <t>Projekts "Tilta izbūve pār Platones upi Bauskas ielā, Jelgavā" - sadārdzinājums (COVID)</t>
  </si>
  <si>
    <t>18.10.2022.-20.09.2047..</t>
  </si>
  <si>
    <t>A2/1/22/438</t>
  </si>
  <si>
    <t>Projekts "Jelgavas valstspilsētas pašvaldības pirmsskolas izglītības iestādes "Lācītis" teritorijas labiekārtošana" (COVID)</t>
  </si>
  <si>
    <t>18.10.2022.-20.09.2032.</t>
  </si>
  <si>
    <t>A2/1/22/439</t>
  </si>
  <si>
    <t>Projekts "Jelgavas valstspilsētas pašvaldības pirmsskolas izglītības iestādes "Vārpiņa" iekštelpu remontdarbi" (COVID)</t>
  </si>
  <si>
    <t>A2/1/22/440</t>
  </si>
  <si>
    <t>Projekts "Jelgavas valstspilsētas pašvaldības pirmsskolas izglītības iestādes "Zemenīte" iekštelpu remontdarbi" (COVID)</t>
  </si>
  <si>
    <t>A2/1/22/441</t>
  </si>
  <si>
    <t>Projekts "Jelgavas valstspilsētas pašvaldības pirmsskolas izglītības iestādes "Zemenīte" žoga atjaunošana" (COVID)</t>
  </si>
  <si>
    <t>A2/1/22/442</t>
  </si>
  <si>
    <t>Precizētais plāns uz 22.12.2022.</t>
  </si>
  <si>
    <t>A2/1/22/484</t>
  </si>
  <si>
    <t>04.11.2022.-20.10.2027.</t>
  </si>
  <si>
    <t>Priekšfinansējuma atmaksas uz 31.12.2022.</t>
  </si>
  <si>
    <t>Plānotās priekšfinansējuma atmaksas uz 31.12.2022.</t>
  </si>
  <si>
    <t>02.12.2022.-20.11.2052.</t>
  </si>
  <si>
    <t>A2/1/22/548</t>
  </si>
  <si>
    <t>12.341.</t>
  </si>
  <si>
    <t>Ieņēmumi no budžeta iestādēm atmaksātiem debitoru parādiem Eiropas Savienības politiku instrumentu un pārējās ārvalstu finanšu palīdzības līdzfinansētos projektos (pasākumos)</t>
  </si>
  <si>
    <t>SIA "Jelgavas ūdens" - Ūdenssaimniecības pakalpojumu attīstība Jelgavā, V kārta</t>
  </si>
  <si>
    <t>SIA "Jelgavas ūdens" - Ūdenssaimniecība III kārta</t>
  </si>
  <si>
    <t>SIA "Jelgavas ūdens" - Ūdenssaimniecība II kārta</t>
  </si>
  <si>
    <t>4.pielikums</t>
  </si>
  <si>
    <t>Nosaukums</t>
  </si>
  <si>
    <t>01. JELGAVAS VALSTSPILSĒTAS PAŠVALDĪBAS ADMINISTRĀCIJA</t>
  </si>
  <si>
    <t>Izdevumi kopā</t>
  </si>
  <si>
    <t>1000. Atlīdzība</t>
  </si>
  <si>
    <t>2000. Preces un pakalpojumi</t>
  </si>
  <si>
    <t>3000. Subsīdijas un dotācijas</t>
  </si>
  <si>
    <t>5000. Pamatkapitāla veidošana</t>
  </si>
  <si>
    <t>6000. Sociālie pabalsti</t>
  </si>
  <si>
    <t>7000. Uzturēšanas izdevumu transferti, pašu resursu maksājumi, starptautiskā sadarbība</t>
  </si>
  <si>
    <t>9000. Kapitālo izdevumu transferti</t>
  </si>
  <si>
    <t>01.111. Izpildvaras institūcija</t>
  </si>
  <si>
    <t>01.113. Projekts - 'Komunikācija ar sabiedrību tās iesaistei pašvaldības lēmumu pieņemšanā'</t>
  </si>
  <si>
    <t>01.116. Projekts - 'Ēkas Pasta ielā 32, Jelgavā, pārbūve par dzimtsarakstu nodaļu'</t>
  </si>
  <si>
    <t>01.124. Zvērināto auditoru pakalpojumi un grāmatvedības programmu uzturēšana</t>
  </si>
  <si>
    <t>01.331. Centralizēto datoru un datortīklu uzturēšana</t>
  </si>
  <si>
    <t>01.332. Interreg V-A Latvijas - Lietuvas programmas projekts - 'Pilsētas iedzīvotāju kartes pieejamo pakalpojumu pilnveidošana Jelgavā un Šauļos'</t>
  </si>
  <si>
    <t>01.601. Vēlēšanu organizēšana</t>
  </si>
  <si>
    <t>03.207. ERAF projekts 'Jelgavas pašvaldības operatīvās informācijas centra ēkas Sarmas ielā 4 energoefektivitātes paaugstināšana'</t>
  </si>
  <si>
    <t>04.510.530. ERAF projekts 'Tehniskās infrastruktūras sakārtošana uzņēmējdarbības attīstībai degradētajā teritorijā, 3.kārta'</t>
  </si>
  <si>
    <t>04.737. ERAF projekts - 'Nozīmīga kultūrvēsturiskā mantojuma saglabāšana un attīstība kultūras tūrisma piedāvājuma pilnveidošanai Zemgales reģionā'</t>
  </si>
  <si>
    <t>04.738. Latvijas - Lietuvas pārrobežu sadarbības programmas projekts 'Kopīga pārrobežu tūrisma piedāvājuma 'Saules ceļš' izveide'</t>
  </si>
  <si>
    <t>04.739. ERAF projekts 'Kultūras mantojuma saglabāšana un attīstība Jelgavas pilsētā'</t>
  </si>
  <si>
    <t>04.747. Eiropas inovāciju un tehnoloģiju institūta iniciatīvas 'Pilsētu mobilitāte' projekts 'Mēs risinām - pilsoņu iesaistīšana'</t>
  </si>
  <si>
    <t>04.744. ERAF projekts 'Pilssalas ielas degradētās teritorijas sakārtošana'</t>
  </si>
  <si>
    <t>04.901. Zemes reformas darbība, zemes īpašuma un lietošanas tiesību pārveidošana</t>
  </si>
  <si>
    <t>06.201. Projektu sagatavošana un teritoriju attīstība</t>
  </si>
  <si>
    <t>06.604. Pašvaldības dzīvokļu pārvaldīšana, remonts, veco māju nojaukšana</t>
  </si>
  <si>
    <t>06.606. Ar pašvaldības teritoriju saistīto normatīvo aktu un standartu sagatavošana un ieviešana</t>
  </si>
  <si>
    <t>06.607. Pašvaldības līdzfinansējums energoefektivitātes paaugstināšanas pasākumu veikšanai daudzdzīvokļu dzīvojamās mājās</t>
  </si>
  <si>
    <t>07.452. ESF projekts - 'Veselības veicināša Jelgavā'</t>
  </si>
  <si>
    <t>08.292. Pilsētas nozīmes pasākumi</t>
  </si>
  <si>
    <t>09.111. Projekts - 'Ēkas pārbūve par pirmskolas izglītības iestādi Brīvības bulvārī 31 A, Jelgavā'</t>
  </si>
  <si>
    <t>09.219.5. ERAF projekts - 'Mācību vides uzlabošana Jelgavas Valsts ģimnāzijā un Jelgavas Tehnoloģiju vidusskolā'</t>
  </si>
  <si>
    <t>09.219.6. Interreg V-A Latvijas - Lietuvas programmas projekts - 'Tehniskās bāzes un operatīvo dienestu speciālistu fiziskās kapacitātes uzlabošana Latvijas un Lietuvas pierobežas reģionā'</t>
  </si>
  <si>
    <t>09.219.8. ERAF projekts - 'Jelgavas pilsētas pašvaldības izglītības iestādes 'Jelgavas Tehnoloģiju vidusskola' energoefektivitātes paaugstināšana'</t>
  </si>
  <si>
    <t>09.219.9. ERAF projekts - 'Jelgavas pamatskolas 'Valdeka'-attīstības centra skolas ēkas energoefektivitātes paaugstināšana'</t>
  </si>
  <si>
    <t>09.519.04. Latvijas - Lietuvas pārrobežu sadarbības programmas projekts 'Sociālajam riskam pakļauto bērnu un jauniešu integrācija Jelgavas un Šauļu pilsētas pašvaldībās'</t>
  </si>
  <si>
    <t>09.519.05. Pašvaldības investīciju projekts 'Jelgavas bērnu un jaunatnes sporta skolas infrastruktūras attīstība'</t>
  </si>
  <si>
    <t>09.533. ESF projekts - 'Proti un dari'</t>
  </si>
  <si>
    <t>09.534. ESF projekts - 'Nodarbināto personu profesionālās kompetences pilnveide'</t>
  </si>
  <si>
    <t>09.535. ERAF projekts 'Ēkas daļas Svētes ielā 33, Jelgavā energoefektivitātes paaugstināšana'</t>
  </si>
  <si>
    <t>09.823. Projekts 'Uzņēmējdarbības atbalsta pasākumi Zemgales plānošanas reģionā'</t>
  </si>
  <si>
    <t>09.824. Projekts 'Kontakts Jelgavā'</t>
  </si>
  <si>
    <t>10.127. ESF projekts - 'Atver sirdi Zemgalē'</t>
  </si>
  <si>
    <t>10.711. Projekts - 'Sabiedrībā balstītu sociālo pakalpojumu infrastruktūras izveide Jelgavā'</t>
  </si>
  <si>
    <t>10.712. ERAF projekts 'Daudzfunkcionālā sociālo pakalpojumu centra ēkas Zirgu ielā 47a, Jelgavā, energoefektivitātes paaugstināšana'</t>
  </si>
  <si>
    <t>02. JELGAVAS VALSTSPILSĒTAS DOMES FINANŠU NODAĻA</t>
  </si>
  <si>
    <t>4000. Procentu izdevumi</t>
  </si>
  <si>
    <t>01.122. Nekustamā īpašuma nodokļa u.c. pašvaldības ieņēmumu administrēšana</t>
  </si>
  <si>
    <t>01.721. Parāda procentu nomaksa</t>
  </si>
  <si>
    <t>01.890.  Līdzekļi neparedzētiem gadījumiem</t>
  </si>
  <si>
    <t>04.515. Sabiedriskā transporta pakalpojumu nodrošināšana Jelgavas pilsētas administratīvajā teritorijā</t>
  </si>
  <si>
    <t>04.909. Dotācija Zemgales plānošanas reģionam</t>
  </si>
  <si>
    <t>04.917. Jelgavas pilsētas pašvaldības grantu programma 'Atbalsts komersantiem un saimnieciskās darbības veicējiem'</t>
  </si>
  <si>
    <t>05.102.  Pilsētas sanitārā tīrīšana - SIA 'Zemgales EKO' funkcija</t>
  </si>
  <si>
    <t>05.303. Finansējums pašvaldības kapitālsabiedrībām vides aizsardzības pasākumu īstenošanai</t>
  </si>
  <si>
    <t>06.603. Pašvaldības īpašumu apsaimniekošana - finansējums SIA 'Jelgavas nekustamā īpašuma pārvalde'</t>
  </si>
  <si>
    <t>07.623. Fonds 'Jelgavnieku veselības veicināšanas fonds'</t>
  </si>
  <si>
    <t>08.105. Nodibinājums 'Sporta tālākizglītības atbalsta fonds'</t>
  </si>
  <si>
    <t>08.401. Dotācijas projektu realizācijai NVO</t>
  </si>
  <si>
    <t>08.403. Nodibinājums 'Atbalsts kultūrai Jelgavā'</t>
  </si>
  <si>
    <t>08.405. Dotācijas biedrībām un nodibinājumiem</t>
  </si>
  <si>
    <t>09.521. Nodibinājums 'Izglītības atbalsta fonds'</t>
  </si>
  <si>
    <t>09.522. Nodibinājums 'J.Bisenieka atbalsta fonds'</t>
  </si>
  <si>
    <t>10.924. Atbalsts mājsaimniecībām energoresursu izdevumu kompensēšanai</t>
  </si>
  <si>
    <t>03. JELGAVAS VALSTSPILSĒTAS PAŠVALDĪBAS IESTĀDE 'PAŠVALDĪBAS IESTĀŽU CENTRALIZĒTĀ GRĀMATVEDĪBA'</t>
  </si>
  <si>
    <t>01.123. PI 'Pašvaldības iestāžu centralizētā grāmatvedība' darbības nodrošināšana</t>
  </si>
  <si>
    <t>04. JELGAVAS VALSTSPILSĒTAS PAŠVALDĪBAS IESTĀDE 'JELGAVAS PAŠVALDĪBAS POLICIJA'</t>
  </si>
  <si>
    <t>03.111. PI 'Jelgavas pašvaldības policija' darbības nodrošināšana</t>
  </si>
  <si>
    <t>05. JELGAVAS VALSTSPILSĒTAS PAŠVALDĪBAS IESTĀDE 'JELGAVAS PAŠVALDĪBAS OPERATĪVĀS INFORMĀCIJAS CENTRS'</t>
  </si>
  <si>
    <t>03.202. PI 'Jelgavas pašvaldības operatīvās informācijas centrs' darbības nodrošināšana</t>
  </si>
  <si>
    <t>04.745. 'Apvārsnis 2020' programmas projekts 'Wellbased'</t>
  </si>
  <si>
    <t>04.746. 'Apvārsnis 2020' programmas projekts 'Impetus'</t>
  </si>
  <si>
    <t>06. JELGAVAS VALSTSPILSĒTAS PAŠVALDĪBAS IESTĀDE 'JELGAVAS REĢIONĀLAIS TŪRISMA CENTRS'</t>
  </si>
  <si>
    <t>04.733. PI 'Jelgavas reģionālais tūrisma centrs' darbības nodrošināšana</t>
  </si>
  <si>
    <t>07. JELGAVAS VALSTSPILSĒTAS PAŠVALDĪBAS IESTĀDE 'PILSĒTSAIMNIECĪBA'</t>
  </si>
  <si>
    <t>04.511. Ceļu un ielu infrastruktūras funkcionēšana, izmantošana, būvniecība un uzturēšana</t>
  </si>
  <si>
    <t>04.510.531. Projekts 'Tilta izbūve pār Platones upi Bauskas ielā, Jelgavā'</t>
  </si>
  <si>
    <t>04.511.532. Projekts 'Jelgavas 4.sākumskolas automašīnu stāvlaukuma paplašināšana, teritorijas daļēja labiekārtošana, satiksmes drošības uzlabošana'</t>
  </si>
  <si>
    <t>05.101. Ielu, laukumu, publisko dārzu un parku tīrīšana, atkritumu savākšana</t>
  </si>
  <si>
    <t>05.202. Notekūdeņu apsaimniekošana</t>
  </si>
  <si>
    <t>06.401. Ielu apgaismošana</t>
  </si>
  <si>
    <t>06.601. PI 'Pilsētsaimniecība' darbības nodrošināšana</t>
  </si>
  <si>
    <t>06.602. Pašvaldības teritorijas, mežu un kapsētu apsaimniekošana</t>
  </si>
  <si>
    <t>10.504. Atbalsts Bezdarba gadījumā</t>
  </si>
  <si>
    <t>08. JELGAVAS VALSTSPILSĒTAS PAŠVALDĪBAS IESTĀDE 'SPORTA SERVISA CENTRS'</t>
  </si>
  <si>
    <t>08.101. PI 'Sporta servisa centrs' darbības nodrošināšana</t>
  </si>
  <si>
    <t>08.103. Dotācijas sporta pasākumiem</t>
  </si>
  <si>
    <t>09.513. Jelgavas sporta skolu darbības nodrošināšana - kopsavilkums</t>
  </si>
  <si>
    <t>09.513.1. Jelgavas Bērnu un jaunatnes sporta skola</t>
  </si>
  <si>
    <t>09.513.2. Jelgavas Specializētā peldēšanas skola</t>
  </si>
  <si>
    <t>09.513.3. Jelgavas Ledus sporta skola</t>
  </si>
  <si>
    <t>09. JELGAVAS VALSTSPILSĒTAS PAŠVALDĪBAS IESTĀDE 'JELGAVAS BIBLIOTĒKA'</t>
  </si>
  <si>
    <t>08.211. PI 'Jelgavas bibliotēka' darbības nodrošināšana</t>
  </si>
  <si>
    <t>08.214. Erasmus+ programmas projekts 'Lauku un reģionālās bibliotēkas kā vietējie ģimenes uzņēmējdarbības centri'</t>
  </si>
  <si>
    <t>10. JELGAVAS VALSTSPILSĒTAS PAŠVALDĪBAS IESTĀDE 'Ģ.ELIASA JELGAVAS VĒSTURES UN MĀKSLAS MUZEJS'</t>
  </si>
  <si>
    <t>08.221. PI 'Ģ.Eliasa Jelgavas Vēstures un mākslas muzejs' darbības nodrošināšana</t>
  </si>
  <si>
    <t>11. JELGAVAS VALSTSPILSĒTAS PAŠVALDĪBAS IESTĀDE 'KULTŪRA'</t>
  </si>
  <si>
    <t>08.231. PI 'Kultūra' darbības nodrošināšana</t>
  </si>
  <si>
    <t>08.232. PI 'Kultūra' pasākumi</t>
  </si>
  <si>
    <t>08.241.Jelgavas Kamerorķestra darbības nodrošināšana</t>
  </si>
  <si>
    <t>08.242. Jelgavas bigbenda darbības nodrošināšana</t>
  </si>
  <si>
    <t>08.243. Dotācija Jelgavas Ā.Alunāna teātra darbības nodrošināšanai</t>
  </si>
  <si>
    <t>08.291. Dotācija Tautas mākslas kolektīvu darbības nodrošināšanai</t>
  </si>
  <si>
    <t>08.402. Kultūras padomes finansētie pasākumi</t>
  </si>
  <si>
    <t>12. JELGAVAS VALSTSPILSĒTAS PAŠVALDĪBAS IESTĀDE 'SABIEDRISKAIS CENTRS'</t>
  </si>
  <si>
    <t>08.621. PI 'Sabiedriskais centrs' darbības nodrošināšana</t>
  </si>
  <si>
    <t>13. JELGAVAS VALSTSPILSĒTAS PAŠVALDĪBAS IESTĀDE 'ZEMGALES REĢIONA KOMPETENČU ATTĪSTĪBAS CENTRS'</t>
  </si>
  <si>
    <t>09.531. PI 'Zemgales reģiona kompetenču attīstības centrs' darbības nodrošināšana</t>
  </si>
  <si>
    <t>09.532. PI 'Zemgales reģiona kompetenču attīstības centrs' projektu īstenošana</t>
  </si>
  <si>
    <t>14. JELGAVAS VALSTSPILSĒTAS PAŠVALDĪBAS IESTĀDE 'JELGAVAS IZGLĪTĪBAS PĀRVALDE'</t>
  </si>
  <si>
    <t>01.831. Transferti citām pašvaldībām izglītības funkciju nodrošināšanai</t>
  </si>
  <si>
    <t>09.101. Jelgavas pirmsskolas izglītības iestāžu darbības nodrošināšana</t>
  </si>
  <si>
    <t>09.219.1. Jelgavas vispārizglītojošo skolu darbības nodrošināšana</t>
  </si>
  <si>
    <t>09.219.2. Jelgavas speciālo skolu un speciālās pirmsskolas izglītības programmas darbības nodrošināšana</t>
  </si>
  <si>
    <t>09.219.3. Jelgavas vispārizglītojošo skolu projektu īstenošana</t>
  </si>
  <si>
    <t>09.222.2. Jelgavas Amatu vidusskolas darbības nodrošināšana</t>
  </si>
  <si>
    <t>09.222.3. Jelgavas Amatu vidusskolas projektu īstenošana - kopsavilkums</t>
  </si>
  <si>
    <t>09.511. Pārējie interešu izglītības pasākumi, t.sk. Jaunrades nama 'Junda' darbības nodrošināšana</t>
  </si>
  <si>
    <t>09.512. Jelgavas Mākslas skolas darbības nodrošināšana</t>
  </si>
  <si>
    <t>09.640.1. Asistentu pakalpojumu nodrošināšana</t>
  </si>
  <si>
    <t>09.811. PI 'Jelgavas izglītības pārvalde' darbības nodrošināšana</t>
  </si>
  <si>
    <t>09.812. PI 'Jelgavas izglītības pārvalde' projektu īstenošana</t>
  </si>
  <si>
    <t>09.812.3. PI 'Jelgavas izglītības pārvalde' iekļaujošas izglītības atbalsta centrs</t>
  </si>
  <si>
    <t>10.922. Braukšanas maksas atvieglojumi skolēniem sabiedriskajā transportā</t>
  </si>
  <si>
    <t>15. JELGAVAS VALSTSPILSĒTAS PAŠVALDIBAS IESTĀDE 'JELGAVAS BĀRIŅTIESA'</t>
  </si>
  <si>
    <t>10.403. PI 'Jelgavas bāriņtiesa' darbības nodrošināšana</t>
  </si>
  <si>
    <t>16. JELGAVAS VALSTSPILSĒTAS PAŠVALDĪBAS IESTĀDE 'JELGAVAS SOCIĀLO LIETU PĀRVALDE'</t>
  </si>
  <si>
    <t>07.100. Ārstniecības līdzekļi</t>
  </si>
  <si>
    <t>07.200. Ambulatoro ārstniecības iestāžu darbība un pakalpojumi</t>
  </si>
  <si>
    <t>07.300. Slimnīcu pakalpojumi</t>
  </si>
  <si>
    <t>07.450. Veselības veicināšanas pasākumi</t>
  </si>
  <si>
    <t>10.121. Invalīdu rehabilitācijas pasākumi, invalīdu transporta izdevumi u.c. kompensācijas</t>
  </si>
  <si>
    <t>10.122. Dienas centrs 'Harmonija'</t>
  </si>
  <si>
    <t>10.123. Dienas centrs 'Integra'</t>
  </si>
  <si>
    <t>10.124. Dienas centrs 'Atbalsts'</t>
  </si>
  <si>
    <t>10.125. Grupu dzīvokļi</t>
  </si>
  <si>
    <t>10.125.1. DI Grupu dzīvokļi</t>
  </si>
  <si>
    <t>10.201. Sociālās un medicīniskās aprūpes centrs</t>
  </si>
  <si>
    <t>10.202. Palīdzība veciem cilvēkiem</t>
  </si>
  <si>
    <t>10.402. Sociālā palīdzība ģimenēm ar bērniem un vardarbībā cietušo bērnu rehabilitācija</t>
  </si>
  <si>
    <t>10.601. Mājokļa pabalsts un pabalsts individuālās apkures nodrošināšanai</t>
  </si>
  <si>
    <t>10.701. Sociālā māja un sociālie dzīvokļi</t>
  </si>
  <si>
    <t>10.704. GMI pabalsts, mirušo apbedīšanas izdevumi un citi naudas maksājumi maznodrošinātām un neaizsargātām personām</t>
  </si>
  <si>
    <t>10.705.2. JSLP Naktspatversme</t>
  </si>
  <si>
    <t>10.707. Higiēnas centrs</t>
  </si>
  <si>
    <t>10.710. Sociālo pakalpojumu centrs bērniem</t>
  </si>
  <si>
    <t>10.713. Specializētās darbnīcas</t>
  </si>
  <si>
    <t>10.714. DI Servisa pakalpojumi</t>
  </si>
  <si>
    <t>10.911. PI 'Jelgavas sociālo lietu pārvalde' darbības nodrošināšana</t>
  </si>
  <si>
    <t>10.921. Pabalsti ārkārtas gadījumos, citi pabalsti un maksājumi</t>
  </si>
  <si>
    <t>17. FINANSĒŠANA</t>
  </si>
  <si>
    <t>F40020000 Aizdevumu pamatsummu atmaksa</t>
  </si>
  <si>
    <t>F50010000. Akcijas un cita līdzdalība komersantu pašu kapitālā</t>
  </si>
  <si>
    <t>F21010000. Naudas līdzekļu atlikums uz perioda beigām</t>
  </si>
  <si>
    <t>F40320020 Saņemto ilgtermiņa aizņēmumu atmaksa</t>
  </si>
  <si>
    <t>F50010000 Akcijas un cita līdzdalība komersantu pašu kapitālā</t>
  </si>
  <si>
    <t>2022.gada plāns</t>
  </si>
  <si>
    <t>Grozījumi 
+ vai -</t>
  </si>
  <si>
    <t>JELGAVAS VALSTSPILSĒTAS PAŠVALDĪBAS 2022.GADA PAMATBUDŽETS ATŠIFRĒJUMĀ PA PROGRAMMĀM UN EKONOMISKĀS KLASIFIKĀCIJAS KODIEM</t>
  </si>
  <si>
    <t>8. pielikums</t>
  </si>
  <si>
    <t>JELGAVAS VALSTSPILSĒTAS PAŠVALDĪBAS VIDĒJA TERMIŅA PILSĒTAS IELU FINANSĒŠANAI PAREDZĒTAIS AUTOCEĻU FONDS, EUR</t>
  </si>
  <si>
    <t>N.p.k.</t>
  </si>
  <si>
    <t>I</t>
  </si>
  <si>
    <t>Pašvaldību saņemtie valsts budžeta transferti noteiktam mērķim</t>
  </si>
  <si>
    <t>II</t>
  </si>
  <si>
    <t>Izdevumi - kopā</t>
  </si>
  <si>
    <t>Ielu būvniecība un rekonstrukcija</t>
  </si>
  <si>
    <t>Ietvju būvniecība un rekonstrukcija</t>
  </si>
  <si>
    <t>Ceļu un ielu atjaunošana, pārbūve un nojaukšana</t>
  </si>
  <si>
    <t>Ceļu un ielu ikdienas uzturēšana</t>
  </si>
  <si>
    <t>Pārējie izdevumi</t>
  </si>
  <si>
    <t>III</t>
  </si>
  <si>
    <t>Finansēšana</t>
  </si>
  <si>
    <t>Naudas līdzekļi perioda sākumā</t>
  </si>
  <si>
    <t>A. Rāviņš</t>
  </si>
  <si>
    <t>Precizētais plāns 2022.gadam</t>
  </si>
  <si>
    <t>2023.gada prognoze</t>
  </si>
  <si>
    <t>2024.gada prognoze</t>
  </si>
  <si>
    <t>SAISTOŠAJIEM NOTEIKUMIEM Nr.22-39</t>
  </si>
  <si>
    <t>22.12.2022.prot.Nr.18/1</t>
  </si>
  <si>
    <t>22.12.2022.prot. Nr.18/1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</si>
</sst>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0.000%"/>
    <numFmt numFmtId="174" formatCode="_-* #,##0\ _L_s_-;\-* #,##0\ _L_s_-;_-* &quot;-&quot;??\ _L_s_-;_-@_-"/>
    <numFmt numFmtId="175" formatCode="#,##0.00_ ;\-#,##0.00\ "/>
    <numFmt numFmtId="176" formatCode="#,##0.0"/>
    <numFmt numFmtId="177" formatCode="#,##0.000"/>
    <numFmt numFmtId="178" formatCode="0.0%"/>
    <numFmt numFmtId="179" formatCode="0.0000%"/>
    <numFmt numFmtId="180" formatCode="#,##0.0000"/>
    <numFmt numFmtId="181" formatCode="_-* #,##0.0\ _L_s_-;\-* #,##0.0\ _L_s_-;_-* &quot;-&quot;??\ _L_s_-;_-@_-"/>
    <numFmt numFmtId="182" formatCode="_-* #,##0.00\ _L_s_-;\-* #,##0.00\ _L_s_-;_-* &quot;-&quot;??\ _L_s_-;_-@_-"/>
    <numFmt numFmtId="183" formatCode="_-* #,##0.000\ _L_s_-;\-* #,##0.000\ _L_s_-;_-* &quot;-&quot;??\ _L_s_-;_-@_-"/>
    <numFmt numFmtId="184" formatCode="[$-426]dddd\,\ yyyy&quot;. gada &quot;d\.\ mmmm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i/>
      <sz val="10"/>
      <name val="Times New Roman Baltic"/>
      <family val="1"/>
    </font>
    <font>
      <b/>
      <i/>
      <sz val="11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color indexed="10"/>
      <name val="Times New Roman"/>
      <family val="1"/>
    </font>
    <font>
      <b/>
      <sz val="10"/>
      <color indexed="10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Arial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0"/>
      <name val="Arial"/>
      <family val="2"/>
    </font>
    <font>
      <b/>
      <sz val="10"/>
      <color indexed="8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b/>
      <sz val="10"/>
      <color rgb="FFFF0000"/>
      <name val="Arial"/>
      <family val="2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Arial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FF0000"/>
      <name val="Arial"/>
      <family val="2"/>
    </font>
    <font>
      <b/>
      <sz val="10"/>
      <color theme="1"/>
      <name val="Times New Roman"/>
      <family val="1"/>
    </font>
    <font>
      <i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1B8E4"/>
        <bgColor indexed="64"/>
      </patternFill>
    </fill>
    <fill>
      <patternFill patternType="solid">
        <fgColor rgb="FFFFFFFF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/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 style="thin"/>
      <top style="thin">
        <color indexed="22"/>
      </top>
      <bottom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/>
    </border>
    <border>
      <left style="hair"/>
      <right style="thin"/>
      <top>
        <color indexed="63"/>
      </top>
      <bottom style="hair"/>
    </border>
    <border>
      <left style="thin"/>
      <right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/>
      <top style="thin"/>
      <bottom style="thin"/>
    </border>
    <border>
      <left style="thin">
        <color theme="0" tint="-0.24993999302387238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/>
      <bottom style="thin"/>
    </border>
    <border>
      <left style="thin">
        <color theme="0" tint="-0.149959996342659"/>
      </left>
      <right/>
      <top style="thin"/>
      <bottom style="thin"/>
    </border>
    <border>
      <left style="thin">
        <color theme="0" tint="-0.149959996342659"/>
      </left>
      <right style="thin"/>
      <top style="thin"/>
      <bottom style="thin"/>
    </border>
    <border>
      <left style="thin">
        <color theme="0" tint="-0.24993999302387238"/>
      </left>
      <right style="thin"/>
      <top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 style="thin"/>
      <top style="thin">
        <color theme="0" tint="-0.24993999302387238"/>
      </top>
      <bottom style="double"/>
    </border>
    <border>
      <left style="thin">
        <color indexed="22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 style="thin">
        <color theme="0" tint="-0.24993999302387238"/>
      </left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hair"/>
      <right style="hair"/>
      <top style="thin"/>
      <bottom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/>
      <top style="thin"/>
      <bottom style="thin">
        <color indexed="22"/>
      </bottom>
    </border>
    <border>
      <left style="thin"/>
      <right/>
      <top style="thin">
        <color indexed="22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/>
      <right style="thin">
        <color indexed="22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52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84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9" borderId="10" xfId="0" applyFont="1" applyFill="1" applyBorder="1" applyAlignment="1">
      <alignment vertical="center"/>
    </xf>
    <xf numFmtId="0" fontId="7" fillId="9" borderId="10" xfId="0" applyFont="1" applyFill="1" applyBorder="1" applyAlignment="1">
      <alignment horizontal="center" vertical="center" wrapText="1"/>
    </xf>
    <xf numFmtId="3" fontId="7" fillId="9" borderId="10" xfId="0" applyNumberFormat="1" applyFont="1" applyFill="1" applyBorder="1" applyAlignment="1">
      <alignment vertical="center"/>
    </xf>
    <xf numFmtId="0" fontId="2" fillId="9" borderId="10" xfId="0" applyFont="1" applyFill="1" applyBorder="1" applyAlignment="1">
      <alignment vertical="center"/>
    </xf>
    <xf numFmtId="0" fontId="4" fillId="9" borderId="10" xfId="0" applyFont="1" applyFill="1" applyBorder="1" applyAlignment="1">
      <alignment horizontal="center" vertical="center" wrapText="1"/>
    </xf>
    <xf numFmtId="3" fontId="4" fillId="9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 indent="2"/>
    </xf>
    <xf numFmtId="3" fontId="9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 indent="2"/>
    </xf>
    <xf numFmtId="3" fontId="9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wrapText="1" indent="2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right" vertical="center"/>
    </xf>
    <xf numFmtId="0" fontId="8" fillId="7" borderId="10" xfId="0" applyFont="1" applyFill="1" applyBorder="1" applyAlignment="1">
      <alignment horizontal="left" vertical="center" wrapText="1" indent="2"/>
    </xf>
    <xf numFmtId="3" fontId="9" fillId="7" borderId="10" xfId="0" applyNumberFormat="1" applyFont="1" applyFill="1" applyBorder="1" applyAlignment="1">
      <alignment vertical="center"/>
    </xf>
    <xf numFmtId="0" fontId="4" fillId="9" borderId="10" xfId="0" applyFont="1" applyFill="1" applyBorder="1" applyAlignment="1">
      <alignment horizontal="center" vertical="center"/>
    </xf>
    <xf numFmtId="3" fontId="4" fillId="9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172" fontId="8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 wrapText="1" indent="2"/>
    </xf>
    <xf numFmtId="3" fontId="9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7" fillId="9" borderId="10" xfId="0" applyFont="1" applyFill="1" applyBorder="1" applyAlignment="1">
      <alignment vertical="center"/>
    </xf>
    <xf numFmtId="0" fontId="10" fillId="9" borderId="10" xfId="0" applyFont="1" applyFill="1" applyBorder="1" applyAlignment="1">
      <alignment/>
    </xf>
    <xf numFmtId="0" fontId="3" fillId="9" borderId="10" xfId="0" applyFont="1" applyFill="1" applyBorder="1" applyAlignment="1">
      <alignment horizontal="center" vertical="center" wrapText="1"/>
    </xf>
    <xf numFmtId="3" fontId="3" fillId="9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3" fillId="9" borderId="10" xfId="0" applyFont="1" applyFill="1" applyBorder="1" applyAlignment="1">
      <alignment vertical="center"/>
    </xf>
    <xf numFmtId="0" fontId="3" fillId="9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wrapText="1" indent="2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9" borderId="10" xfId="0" applyFont="1" applyFill="1" applyBorder="1" applyAlignment="1">
      <alignment/>
    </xf>
    <xf numFmtId="0" fontId="11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vertical="center"/>
    </xf>
    <xf numFmtId="0" fontId="5" fillId="9" borderId="10" xfId="0" applyFont="1" applyFill="1" applyBorder="1" applyAlignment="1">
      <alignment vertical="center"/>
    </xf>
    <xf numFmtId="0" fontId="5" fillId="9" borderId="10" xfId="0" applyFont="1" applyFill="1" applyBorder="1" applyAlignment="1">
      <alignment vertical="center" wrapText="1"/>
    </xf>
    <xf numFmtId="3" fontId="5" fillId="9" borderId="10" xfId="0" applyNumberFormat="1" applyFont="1" applyFill="1" applyBorder="1" applyAlignment="1">
      <alignment vertical="center"/>
    </xf>
    <xf numFmtId="3" fontId="15" fillId="9" borderId="10" xfId="0" applyNumberFormat="1" applyFont="1" applyFill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5" fillId="7" borderId="10" xfId="0" applyNumberFormat="1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0" fontId="5" fillId="0" borderId="12" xfId="0" applyFont="1" applyBorder="1" applyAlignment="1">
      <alignment wrapText="1"/>
    </xf>
    <xf numFmtId="0" fontId="8" fillId="34" borderId="10" xfId="0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left" vertical="center" wrapText="1" indent="2"/>
    </xf>
    <xf numFmtId="0" fontId="4" fillId="9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9" fillId="0" borderId="0" xfId="59" applyFont="1" applyAlignment="1">
      <alignment vertical="center"/>
      <protection/>
    </xf>
    <xf numFmtId="0" fontId="9" fillId="0" borderId="0" xfId="59" applyFont="1">
      <alignment/>
      <protection/>
    </xf>
    <xf numFmtId="0" fontId="16" fillId="0" borderId="0" xfId="59" applyFont="1" applyFill="1">
      <alignment/>
      <protection/>
    </xf>
    <xf numFmtId="0" fontId="84" fillId="0" borderId="0" xfId="0" applyFont="1" applyAlignment="1">
      <alignment/>
    </xf>
    <xf numFmtId="3" fontId="84" fillId="0" borderId="0" xfId="0" applyNumberFormat="1" applyFont="1" applyAlignment="1">
      <alignment/>
    </xf>
    <xf numFmtId="0" fontId="84" fillId="0" borderId="0" xfId="0" applyFont="1" applyFill="1" applyAlignment="1">
      <alignment/>
    </xf>
    <xf numFmtId="0" fontId="84" fillId="0" borderId="0" xfId="0" applyFont="1" applyAlignment="1">
      <alignment horizontal="center"/>
    </xf>
    <xf numFmtId="0" fontId="84" fillId="0" borderId="0" xfId="0" applyFont="1" applyFill="1" applyAlignment="1">
      <alignment/>
    </xf>
    <xf numFmtId="0" fontId="85" fillId="0" borderId="0" xfId="0" applyFont="1" applyAlignment="1">
      <alignment/>
    </xf>
    <xf numFmtId="0" fontId="5" fillId="7" borderId="10" xfId="0" applyFont="1" applyFill="1" applyBorder="1" applyAlignment="1">
      <alignment vertical="center"/>
    </xf>
    <xf numFmtId="0" fontId="5" fillId="7" borderId="10" xfId="0" applyFont="1" applyFill="1" applyBorder="1" applyAlignment="1">
      <alignment vertical="center" wrapText="1"/>
    </xf>
    <xf numFmtId="0" fontId="8" fillId="7" borderId="10" xfId="0" applyFont="1" applyFill="1" applyBorder="1" applyAlignment="1">
      <alignment horizontal="right" vertical="center" wrapText="1"/>
    </xf>
    <xf numFmtId="0" fontId="8" fillId="7" borderId="10" xfId="0" applyFont="1" applyFill="1" applyBorder="1" applyAlignment="1">
      <alignment horizontal="left" wrapText="1" indent="2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2" fillId="7" borderId="10" xfId="0" applyFont="1" applyFill="1" applyBorder="1" applyAlignment="1">
      <alignment vertical="center"/>
    </xf>
    <xf numFmtId="0" fontId="9" fillId="7" borderId="10" xfId="0" applyFont="1" applyFill="1" applyBorder="1" applyAlignment="1">
      <alignment horizontal="left" wrapText="1" indent="2"/>
    </xf>
    <xf numFmtId="3" fontId="8" fillId="7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9" fillId="7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3" fontId="9" fillId="7" borderId="10" xfId="0" applyNumberFormat="1" applyFont="1" applyFill="1" applyBorder="1" applyAlignment="1">
      <alignment horizontal="center" vertical="center"/>
    </xf>
    <xf numFmtId="0" fontId="16" fillId="0" borderId="0" xfId="59" applyFont="1">
      <alignment/>
      <protection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7" fillId="0" borderId="0" xfId="59" applyFont="1">
      <alignment/>
      <protection/>
    </xf>
    <xf numFmtId="0" fontId="4" fillId="33" borderId="10" xfId="0" applyFont="1" applyFill="1" applyBorder="1" applyAlignment="1">
      <alignment horizontal="center" vertical="center" wrapText="1"/>
    </xf>
    <xf numFmtId="0" fontId="84" fillId="7" borderId="10" xfId="0" applyFont="1" applyFill="1" applyBorder="1" applyAlignment="1">
      <alignment vertical="center"/>
    </xf>
    <xf numFmtId="0" fontId="86" fillId="7" borderId="10" xfId="0" applyFont="1" applyFill="1" applyBorder="1" applyAlignment="1">
      <alignment horizontal="left" wrapText="1" indent="2"/>
    </xf>
    <xf numFmtId="3" fontId="87" fillId="7" borderId="10" xfId="0" applyNumberFormat="1" applyFont="1" applyFill="1" applyBorder="1" applyAlignment="1">
      <alignment horizontal="center" vertical="center"/>
    </xf>
    <xf numFmtId="3" fontId="86" fillId="7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left" vertical="center" wrapText="1" indent="2"/>
    </xf>
    <xf numFmtId="0" fontId="8" fillId="0" borderId="10" xfId="0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3" fontId="15" fillId="7" borderId="10" xfId="0" applyNumberFormat="1" applyFont="1" applyFill="1" applyBorder="1" applyAlignment="1">
      <alignment vertical="center"/>
    </xf>
    <xf numFmtId="3" fontId="9" fillId="34" borderId="10" xfId="0" applyNumberFormat="1" applyFont="1" applyFill="1" applyBorder="1" applyAlignment="1">
      <alignment vertical="center"/>
    </xf>
    <xf numFmtId="3" fontId="13" fillId="33" borderId="10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3" fontId="2" fillId="7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vertical="center"/>
    </xf>
    <xf numFmtId="3" fontId="20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3" fontId="3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3" fontId="20" fillId="9" borderId="10" xfId="0" applyNumberFormat="1" applyFont="1" applyFill="1" applyBorder="1" applyAlignment="1">
      <alignment vertical="center"/>
    </xf>
    <xf numFmtId="0" fontId="6" fillId="0" borderId="0" xfId="58" applyFont="1" applyFill="1" applyAlignment="1">
      <alignment horizontal="right"/>
      <protection/>
    </xf>
    <xf numFmtId="0" fontId="22" fillId="0" borderId="0" xfId="59" applyFont="1" applyFill="1">
      <alignment/>
      <protection/>
    </xf>
    <xf numFmtId="0" fontId="22" fillId="0" borderId="0" xfId="59" applyFont="1" applyFill="1" applyAlignment="1">
      <alignment vertical="center"/>
      <protection/>
    </xf>
    <xf numFmtId="0" fontId="5" fillId="0" borderId="10" xfId="0" applyFont="1" applyFill="1" applyBorder="1" applyAlignment="1">
      <alignment horizontal="left" vertical="center"/>
    </xf>
    <xf numFmtId="0" fontId="88" fillId="0" borderId="0" xfId="59" applyFont="1">
      <alignment/>
      <protection/>
    </xf>
    <xf numFmtId="0" fontId="86" fillId="0" borderId="0" xfId="59" applyFont="1" applyAlignment="1">
      <alignment vertical="center"/>
      <protection/>
    </xf>
    <xf numFmtId="0" fontId="86" fillId="0" borderId="0" xfId="59" applyFont="1">
      <alignment/>
      <protection/>
    </xf>
    <xf numFmtId="3" fontId="89" fillId="0" borderId="0" xfId="59" applyNumberFormat="1" applyFont="1">
      <alignment/>
      <protection/>
    </xf>
    <xf numFmtId="0" fontId="89" fillId="0" borderId="0" xfId="59" applyFont="1">
      <alignment/>
      <protection/>
    </xf>
    <xf numFmtId="0" fontId="88" fillId="0" borderId="0" xfId="59" applyFont="1" applyAlignment="1">
      <alignment vertical="center"/>
      <protection/>
    </xf>
    <xf numFmtId="0" fontId="88" fillId="0" borderId="0" xfId="59" applyFont="1" applyFill="1">
      <alignment/>
      <protection/>
    </xf>
    <xf numFmtId="0" fontId="89" fillId="0" borderId="0" xfId="59" applyFont="1" applyFill="1">
      <alignment/>
      <protection/>
    </xf>
    <xf numFmtId="0" fontId="88" fillId="0" borderId="0" xfId="59" applyFont="1" applyFill="1" applyBorder="1">
      <alignment/>
      <protection/>
    </xf>
    <xf numFmtId="0" fontId="88" fillId="0" borderId="0" xfId="59" applyFont="1" applyAlignment="1">
      <alignment/>
      <protection/>
    </xf>
    <xf numFmtId="0" fontId="90" fillId="0" borderId="0" xfId="59" applyFont="1" applyAlignment="1">
      <alignment/>
      <protection/>
    </xf>
    <xf numFmtId="0" fontId="91" fillId="0" borderId="0" xfId="59" applyFont="1" applyAlignment="1">
      <alignment horizontal="right"/>
      <protection/>
    </xf>
    <xf numFmtId="0" fontId="92" fillId="0" borderId="0" xfId="67" applyFont="1" applyProtection="1">
      <alignment/>
      <protection locked="0"/>
    </xf>
    <xf numFmtId="0" fontId="92" fillId="0" borderId="0" xfId="67" applyFont="1" applyBorder="1" applyProtection="1">
      <alignment/>
      <protection locked="0"/>
    </xf>
    <xf numFmtId="3" fontId="84" fillId="0" borderId="0" xfId="59" applyNumberFormat="1" applyFont="1">
      <alignment/>
      <protection/>
    </xf>
    <xf numFmtId="0" fontId="84" fillId="0" borderId="0" xfId="59" applyFont="1">
      <alignment/>
      <protection/>
    </xf>
    <xf numFmtId="0" fontId="2" fillId="0" borderId="0" xfId="58" applyFont="1" applyFill="1" applyBorder="1" applyAlignment="1">
      <alignment horizontal="right"/>
      <protection/>
    </xf>
    <xf numFmtId="0" fontId="16" fillId="34" borderId="0" xfId="59" applyFont="1" applyFill="1">
      <alignment/>
      <protection/>
    </xf>
    <xf numFmtId="0" fontId="12" fillId="33" borderId="13" xfId="59" applyFont="1" applyFill="1" applyBorder="1" applyAlignment="1">
      <alignment vertical="center"/>
      <protection/>
    </xf>
    <xf numFmtId="0" fontId="12" fillId="33" borderId="14" xfId="59" applyFont="1" applyFill="1" applyBorder="1" applyAlignment="1">
      <alignment vertical="center"/>
      <protection/>
    </xf>
    <xf numFmtId="0" fontId="12" fillId="33" borderId="15" xfId="59" applyFont="1" applyFill="1" applyBorder="1" applyAlignment="1">
      <alignment horizontal="center" vertical="center"/>
      <protection/>
    </xf>
    <xf numFmtId="0" fontId="12" fillId="33" borderId="16" xfId="59" applyFont="1" applyFill="1" applyBorder="1" applyAlignment="1">
      <alignment horizontal="center" vertical="center"/>
      <protection/>
    </xf>
    <xf numFmtId="0" fontId="12" fillId="33" borderId="17" xfId="59" applyFont="1" applyFill="1" applyBorder="1" applyAlignment="1">
      <alignment horizontal="center" vertical="center"/>
      <protection/>
    </xf>
    <xf numFmtId="0" fontId="12" fillId="33" borderId="18" xfId="59" applyFont="1" applyFill="1" applyBorder="1" applyAlignment="1">
      <alignment horizontal="center" vertical="center"/>
      <protection/>
    </xf>
    <xf numFmtId="4" fontId="18" fillId="0" borderId="19" xfId="59" applyNumberFormat="1" applyFont="1" applyFill="1" applyBorder="1">
      <alignment/>
      <protection/>
    </xf>
    <xf numFmtId="0" fontId="93" fillId="0" borderId="0" xfId="59" applyFont="1">
      <alignment/>
      <protection/>
    </xf>
    <xf numFmtId="4" fontId="94" fillId="0" borderId="0" xfId="59" applyNumberFormat="1" applyFont="1" applyBorder="1">
      <alignment/>
      <protection/>
    </xf>
    <xf numFmtId="0" fontId="9" fillId="0" borderId="19" xfId="59" applyFont="1" applyFill="1" applyBorder="1" applyAlignment="1">
      <alignment horizontal="center" vertical="center" wrapText="1"/>
      <protection/>
    </xf>
    <xf numFmtId="0" fontId="9" fillId="0" borderId="20" xfId="59" applyFont="1" applyFill="1" applyBorder="1" applyAlignment="1">
      <alignment horizontal="center" vertical="center" wrapText="1"/>
      <protection/>
    </xf>
    <xf numFmtId="4" fontId="87" fillId="0" borderId="0" xfId="59" applyNumberFormat="1" applyFont="1" applyAlignment="1">
      <alignment horizontal="center"/>
      <protection/>
    </xf>
    <xf numFmtId="0" fontId="22" fillId="0" borderId="0" xfId="59" applyFont="1" applyFill="1" applyBorder="1" applyAlignment="1">
      <alignment/>
      <protection/>
    </xf>
    <xf numFmtId="0" fontId="24" fillId="0" borderId="0" xfId="59" applyFont="1">
      <alignment/>
      <protection/>
    </xf>
    <xf numFmtId="0" fontId="18" fillId="0" borderId="0" xfId="59" applyFont="1" applyFill="1">
      <alignment/>
      <protection/>
    </xf>
    <xf numFmtId="0" fontId="93" fillId="0" borderId="0" xfId="59" applyFont="1" applyFill="1">
      <alignment/>
      <protection/>
    </xf>
    <xf numFmtId="0" fontId="94" fillId="0" borderId="0" xfId="59" applyFont="1">
      <alignment/>
      <protection/>
    </xf>
    <xf numFmtId="0" fontId="16" fillId="0" borderId="0" xfId="59" applyFont="1" applyFill="1" applyBorder="1">
      <alignment/>
      <protection/>
    </xf>
    <xf numFmtId="0" fontId="23" fillId="0" borderId="0" xfId="59" applyFont="1">
      <alignment/>
      <protection/>
    </xf>
    <xf numFmtId="4" fontId="12" fillId="7" borderId="21" xfId="59" applyNumberFormat="1" applyFont="1" applyFill="1" applyBorder="1">
      <alignment/>
      <protection/>
    </xf>
    <xf numFmtId="4" fontId="12" fillId="7" borderId="22" xfId="59" applyNumberFormat="1" applyFont="1" applyFill="1" applyBorder="1">
      <alignment/>
      <protection/>
    </xf>
    <xf numFmtId="4" fontId="12" fillId="7" borderId="23" xfId="59" applyNumberFormat="1" applyFont="1" applyFill="1" applyBorder="1">
      <alignment/>
      <protection/>
    </xf>
    <xf numFmtId="4" fontId="12" fillId="7" borderId="24" xfId="59" applyNumberFormat="1" applyFont="1" applyFill="1" applyBorder="1">
      <alignment/>
      <protection/>
    </xf>
    <xf numFmtId="4" fontId="12" fillId="7" borderId="21" xfId="59" applyNumberFormat="1" applyFont="1" applyFill="1" applyBorder="1" applyAlignment="1">
      <alignment vertical="center"/>
      <protection/>
    </xf>
    <xf numFmtId="4" fontId="12" fillId="7" borderId="22" xfId="59" applyNumberFormat="1" applyFont="1" applyFill="1" applyBorder="1" applyAlignment="1">
      <alignment vertical="center"/>
      <protection/>
    </xf>
    <xf numFmtId="4" fontId="93" fillId="0" borderId="0" xfId="59" applyNumberFormat="1" applyFont="1">
      <alignment/>
      <protection/>
    </xf>
    <xf numFmtId="4" fontId="95" fillId="0" borderId="10" xfId="59" applyNumberFormat="1" applyFont="1" applyBorder="1">
      <alignment/>
      <protection/>
    </xf>
    <xf numFmtId="4" fontId="95" fillId="0" borderId="25" xfId="59" applyNumberFormat="1" applyFont="1" applyBorder="1">
      <alignment/>
      <protection/>
    </xf>
    <xf numFmtId="174" fontId="93" fillId="0" borderId="0" xfId="59" applyNumberFormat="1" applyFont="1">
      <alignment/>
      <protection/>
    </xf>
    <xf numFmtId="0" fontId="9" fillId="0" borderId="20" xfId="63" applyFont="1" applyFill="1" applyBorder="1" applyAlignment="1">
      <alignment horizontal="center" vertical="center"/>
      <protection/>
    </xf>
    <xf numFmtId="10" fontId="9" fillId="0" borderId="20" xfId="59" applyNumberFormat="1" applyFont="1" applyFill="1" applyBorder="1" applyAlignment="1">
      <alignment horizontal="center" vertical="center"/>
      <protection/>
    </xf>
    <xf numFmtId="0" fontId="9" fillId="0" borderId="26" xfId="63" applyFont="1" applyFill="1" applyBorder="1" applyAlignment="1">
      <alignment horizontal="center" vertical="center"/>
      <protection/>
    </xf>
    <xf numFmtId="0" fontId="9" fillId="0" borderId="27" xfId="59" applyFont="1" applyFill="1" applyBorder="1" applyAlignment="1">
      <alignment horizontal="center" vertical="center" wrapText="1"/>
      <protection/>
    </xf>
    <xf numFmtId="173" fontId="9" fillId="0" borderId="20" xfId="59" applyNumberFormat="1" applyFont="1" applyFill="1" applyBorder="1" applyAlignment="1">
      <alignment horizontal="center" vertical="center"/>
      <protection/>
    </xf>
    <xf numFmtId="0" fontId="9" fillId="0" borderId="19" xfId="59" applyFont="1" applyFill="1" applyBorder="1" applyAlignment="1">
      <alignment horizontal="center" wrapText="1"/>
      <protection/>
    </xf>
    <xf numFmtId="0" fontId="9" fillId="0" borderId="20" xfId="63" applyFont="1" applyFill="1" applyBorder="1">
      <alignment/>
      <protection/>
    </xf>
    <xf numFmtId="0" fontId="9" fillId="0" borderId="20" xfId="63" applyFont="1" applyFill="1" applyBorder="1" applyAlignment="1">
      <alignment vertical="center"/>
      <protection/>
    </xf>
    <xf numFmtId="0" fontId="9" fillId="0" borderId="20" xfId="63" applyFont="1" applyFill="1" applyBorder="1" applyAlignment="1">
      <alignment horizontal="center"/>
      <protection/>
    </xf>
    <xf numFmtId="10" fontId="9" fillId="0" borderId="19" xfId="64" applyNumberFormat="1" applyFont="1" applyFill="1" applyBorder="1" applyAlignment="1">
      <alignment horizontal="center" vertical="center"/>
      <protection/>
    </xf>
    <xf numFmtId="0" fontId="87" fillId="0" borderId="0" xfId="59" applyFont="1" applyAlignment="1">
      <alignment vertical="center"/>
      <protection/>
    </xf>
    <xf numFmtId="0" fontId="87" fillId="0" borderId="0" xfId="59" applyFont="1" applyAlignment="1">
      <alignment vertical="top"/>
      <protection/>
    </xf>
    <xf numFmtId="0" fontId="87" fillId="0" borderId="0" xfId="59" applyFont="1" applyAlignment="1">
      <alignment horizontal="center"/>
      <protection/>
    </xf>
    <xf numFmtId="3" fontId="2" fillId="0" borderId="0" xfId="0" applyNumberFormat="1" applyFont="1" applyAlignment="1">
      <alignment/>
    </xf>
    <xf numFmtId="3" fontId="9" fillId="0" borderId="19" xfId="64" applyNumberFormat="1" applyFont="1" applyFill="1" applyBorder="1">
      <alignment/>
      <protection/>
    </xf>
    <xf numFmtId="4" fontId="9" fillId="0" borderId="19" xfId="64" applyNumberFormat="1" applyFont="1" applyFill="1" applyBorder="1">
      <alignment/>
      <protection/>
    </xf>
    <xf numFmtId="3" fontId="9" fillId="0" borderId="20" xfId="64" applyNumberFormat="1" applyFont="1" applyFill="1" applyBorder="1">
      <alignment/>
      <protection/>
    </xf>
    <xf numFmtId="0" fontId="5" fillId="33" borderId="13" xfId="59" applyFont="1" applyFill="1" applyBorder="1" applyAlignment="1">
      <alignment horizontal="center" vertical="center"/>
      <protection/>
    </xf>
    <xf numFmtId="0" fontId="5" fillId="33" borderId="16" xfId="59" applyFont="1" applyFill="1" applyBorder="1" applyAlignment="1">
      <alignment horizontal="center" vertical="center"/>
      <protection/>
    </xf>
    <xf numFmtId="0" fontId="87" fillId="0" borderId="0" xfId="59" applyFont="1" applyAlignment="1">
      <alignment horizontal="left"/>
      <protection/>
    </xf>
    <xf numFmtId="4" fontId="95" fillId="0" borderId="0" xfId="59" applyNumberFormat="1" applyFont="1" applyBorder="1">
      <alignment/>
      <protection/>
    </xf>
    <xf numFmtId="171" fontId="95" fillId="0" borderId="0" xfId="59" applyNumberFormat="1" applyFont="1">
      <alignment/>
      <protection/>
    </xf>
    <xf numFmtId="174" fontId="96" fillId="0" borderId="0" xfId="59" applyNumberFormat="1" applyFont="1">
      <alignment/>
      <protection/>
    </xf>
    <xf numFmtId="0" fontId="96" fillId="0" borderId="0" xfId="59" applyFont="1">
      <alignment/>
      <protection/>
    </xf>
    <xf numFmtId="0" fontId="90" fillId="0" borderId="0" xfId="59" applyFont="1">
      <alignment/>
      <protection/>
    </xf>
    <xf numFmtId="173" fontId="9" fillId="0" borderId="26" xfId="59" applyNumberFormat="1" applyFont="1" applyFill="1" applyBorder="1" applyAlignment="1">
      <alignment horizontal="center" vertical="center"/>
      <protection/>
    </xf>
    <xf numFmtId="0" fontId="9" fillId="35" borderId="28" xfId="59" applyFont="1" applyFill="1" applyBorder="1" applyAlignment="1">
      <alignment/>
      <protection/>
    </xf>
    <xf numFmtId="174" fontId="5" fillId="35" borderId="29" xfId="59" applyNumberFormat="1" applyFont="1" applyFill="1" applyBorder="1" applyAlignment="1">
      <alignment horizontal="center"/>
      <protection/>
    </xf>
    <xf numFmtId="4" fontId="12" fillId="35" borderId="30" xfId="59" applyNumberFormat="1" applyFont="1" applyFill="1" applyBorder="1" applyAlignment="1">
      <alignment horizontal="center"/>
      <protection/>
    </xf>
    <xf numFmtId="0" fontId="9" fillId="35" borderId="31" xfId="59" applyFont="1" applyFill="1" applyBorder="1" applyAlignment="1">
      <alignment horizontal="left"/>
      <protection/>
    </xf>
    <xf numFmtId="0" fontId="5" fillId="35" borderId="32" xfId="59" applyFont="1" applyFill="1" applyBorder="1" applyAlignment="1">
      <alignment horizontal="right"/>
      <protection/>
    </xf>
    <xf numFmtId="4" fontId="12" fillId="35" borderId="32" xfId="59" applyNumberFormat="1" applyFont="1" applyFill="1" applyBorder="1" applyAlignment="1">
      <alignment horizontal="center"/>
      <protection/>
    </xf>
    <xf numFmtId="0" fontId="5" fillId="13" borderId="33" xfId="59" applyFont="1" applyFill="1" applyBorder="1" applyAlignment="1">
      <alignment horizontal="left"/>
      <protection/>
    </xf>
    <xf numFmtId="0" fontId="5" fillId="13" borderId="34" xfId="59" applyFont="1" applyFill="1" applyBorder="1" applyAlignment="1">
      <alignment horizontal="center"/>
      <protection/>
    </xf>
    <xf numFmtId="4" fontId="12" fillId="13" borderId="34" xfId="59" applyNumberFormat="1" applyFont="1" applyFill="1" applyBorder="1" applyAlignment="1">
      <alignment horizontal="center" vertical="center"/>
      <protection/>
    </xf>
    <xf numFmtId="0" fontId="5" fillId="36" borderId="35" xfId="59" applyFont="1" applyFill="1" applyBorder="1" applyAlignment="1">
      <alignment/>
      <protection/>
    </xf>
    <xf numFmtId="0" fontId="5" fillId="35" borderId="36" xfId="59" applyFont="1" applyFill="1" applyBorder="1" applyAlignment="1">
      <alignment horizontal="center"/>
      <protection/>
    </xf>
    <xf numFmtId="10" fontId="12" fillId="35" borderId="36" xfId="72" applyNumberFormat="1" applyFont="1" applyFill="1" applyBorder="1" applyAlignment="1">
      <alignment horizontal="center"/>
    </xf>
    <xf numFmtId="10" fontId="12" fillId="35" borderId="37" xfId="72" applyNumberFormat="1" applyFont="1" applyFill="1" applyBorder="1" applyAlignment="1">
      <alignment horizontal="center"/>
    </xf>
    <xf numFmtId="10" fontId="12" fillId="35" borderId="12" xfId="72" applyNumberFormat="1" applyFont="1" applyFill="1" applyBorder="1" applyAlignment="1">
      <alignment horizontal="center"/>
    </xf>
    <xf numFmtId="10" fontId="12" fillId="36" borderId="38" xfId="72" applyNumberFormat="1" applyFont="1" applyFill="1" applyBorder="1" applyAlignment="1">
      <alignment horizontal="center"/>
    </xf>
    <xf numFmtId="0" fontId="9" fillId="36" borderId="39" xfId="59" applyFont="1" applyFill="1" applyBorder="1" applyAlignment="1">
      <alignment/>
      <protection/>
    </xf>
    <xf numFmtId="0" fontId="5" fillId="35" borderId="40" xfId="59" applyFont="1" applyFill="1" applyBorder="1" applyAlignment="1">
      <alignment horizontal="center"/>
      <protection/>
    </xf>
    <xf numFmtId="10" fontId="12" fillId="35" borderId="41" xfId="72" applyNumberFormat="1" applyFont="1" applyFill="1" applyBorder="1" applyAlignment="1">
      <alignment horizontal="center"/>
    </xf>
    <xf numFmtId="10" fontId="12" fillId="35" borderId="42" xfId="72" applyNumberFormat="1" applyFont="1" applyFill="1" applyBorder="1" applyAlignment="1">
      <alignment horizontal="center"/>
    </xf>
    <xf numFmtId="10" fontId="12" fillId="36" borderId="43" xfId="72" applyNumberFormat="1" applyFont="1" applyFill="1" applyBorder="1" applyAlignment="1">
      <alignment horizontal="center"/>
    </xf>
    <xf numFmtId="4" fontId="5" fillId="35" borderId="10" xfId="59" applyNumberFormat="1" applyFont="1" applyFill="1" applyBorder="1" applyAlignment="1">
      <alignment horizontal="center" vertical="center"/>
      <protection/>
    </xf>
    <xf numFmtId="4" fontId="18" fillId="0" borderId="10" xfId="59" applyNumberFormat="1" applyFont="1" applyBorder="1" applyAlignment="1">
      <alignment vertical="center"/>
      <protection/>
    </xf>
    <xf numFmtId="4" fontId="18" fillId="0" borderId="20" xfId="59" applyNumberFormat="1" applyFont="1" applyFill="1" applyBorder="1">
      <alignment/>
      <protection/>
    </xf>
    <xf numFmtId="0" fontId="9" fillId="0" borderId="19" xfId="58" applyFont="1" applyFill="1" applyBorder="1" applyAlignment="1">
      <alignment horizontal="center" wrapText="1"/>
      <protection/>
    </xf>
    <xf numFmtId="0" fontId="9" fillId="0" borderId="19" xfId="58" applyFont="1" applyFill="1" applyBorder="1" applyAlignment="1">
      <alignment horizontal="center" vertical="center" wrapText="1"/>
      <protection/>
    </xf>
    <xf numFmtId="10" fontId="9" fillId="0" borderId="19" xfId="58" applyNumberFormat="1" applyFont="1" applyFill="1" applyBorder="1" applyAlignment="1">
      <alignment horizontal="center"/>
      <protection/>
    </xf>
    <xf numFmtId="4" fontId="9" fillId="0" borderId="19" xfId="59" applyNumberFormat="1" applyFont="1" applyFill="1" applyBorder="1">
      <alignment/>
      <protection/>
    </xf>
    <xf numFmtId="0" fontId="9" fillId="0" borderId="20" xfId="58" applyFont="1" applyFill="1" applyBorder="1" applyAlignment="1">
      <alignment horizontal="center" wrapText="1"/>
      <protection/>
    </xf>
    <xf numFmtId="0" fontId="9" fillId="0" borderId="20" xfId="58" applyFont="1" applyFill="1" applyBorder="1" applyAlignment="1">
      <alignment horizontal="center" vertical="center" wrapText="1"/>
      <protection/>
    </xf>
    <xf numFmtId="0" fontId="9" fillId="0" borderId="20" xfId="59" applyFont="1" applyFill="1" applyBorder="1" applyAlignment="1">
      <alignment horizontal="center" wrapText="1"/>
      <protection/>
    </xf>
    <xf numFmtId="173" fontId="9" fillId="0" borderId="20" xfId="58" applyNumberFormat="1" applyFont="1" applyFill="1" applyBorder="1" applyAlignment="1">
      <alignment horizontal="center"/>
      <protection/>
    </xf>
    <xf numFmtId="4" fontId="9" fillId="0" borderId="20" xfId="59" applyNumberFormat="1" applyFont="1" applyFill="1" applyBorder="1">
      <alignment/>
      <protection/>
    </xf>
    <xf numFmtId="0" fontId="16" fillId="0" borderId="0" xfId="59" applyFont="1" applyAlignment="1">
      <alignment/>
      <protection/>
    </xf>
    <xf numFmtId="0" fontId="5" fillId="0" borderId="0" xfId="59" applyFont="1" applyAlignment="1">
      <alignment/>
      <protection/>
    </xf>
    <xf numFmtId="0" fontId="16" fillId="0" borderId="0" xfId="59" applyFont="1" applyAlignment="1">
      <alignment vertical="center"/>
      <protection/>
    </xf>
    <xf numFmtId="174" fontId="24" fillId="0" borderId="0" xfId="59" applyNumberFormat="1" applyFont="1">
      <alignment/>
      <protection/>
    </xf>
    <xf numFmtId="174" fontId="25" fillId="0" borderId="0" xfId="59" applyNumberFormat="1" applyFont="1">
      <alignment/>
      <protection/>
    </xf>
    <xf numFmtId="10" fontId="9" fillId="0" borderId="19" xfId="59" applyNumberFormat="1" applyFont="1" applyFill="1" applyBorder="1" applyAlignment="1">
      <alignment horizontal="center"/>
      <protection/>
    </xf>
    <xf numFmtId="173" fontId="9" fillId="0" borderId="20" xfId="59" applyNumberFormat="1" applyFont="1" applyFill="1" applyBorder="1" applyAlignment="1">
      <alignment horizontal="center"/>
      <protection/>
    </xf>
    <xf numFmtId="0" fontId="18" fillId="35" borderId="28" xfId="59" applyFont="1" applyFill="1" applyBorder="1" applyAlignment="1">
      <alignment/>
      <protection/>
    </xf>
    <xf numFmtId="174" fontId="12" fillId="35" borderId="29" xfId="59" applyNumberFormat="1" applyFont="1" applyFill="1" applyBorder="1" applyAlignment="1">
      <alignment horizontal="center"/>
      <protection/>
    </xf>
    <xf numFmtId="4" fontId="12" fillId="35" borderId="29" xfId="59" applyNumberFormat="1" applyFont="1" applyFill="1" applyBorder="1" applyAlignment="1">
      <alignment horizontal="center" vertical="center"/>
      <protection/>
    </xf>
    <xf numFmtId="4" fontId="12" fillId="13" borderId="44" xfId="59" applyNumberFormat="1" applyFont="1" applyFill="1" applyBorder="1" applyAlignment="1">
      <alignment horizontal="center" vertical="center"/>
      <protection/>
    </xf>
    <xf numFmtId="0" fontId="18" fillId="35" borderId="45" xfId="59" applyFont="1" applyFill="1" applyBorder="1" applyAlignment="1">
      <alignment horizontal="center"/>
      <protection/>
    </xf>
    <xf numFmtId="0" fontId="5" fillId="35" borderId="46" xfId="59" applyFont="1" applyFill="1" applyBorder="1" applyAlignment="1">
      <alignment horizontal="center"/>
      <protection/>
    </xf>
    <xf numFmtId="4" fontId="12" fillId="13" borderId="47" xfId="59" applyNumberFormat="1" applyFont="1" applyFill="1" applyBorder="1" applyAlignment="1">
      <alignment horizontal="center" vertical="center"/>
      <protection/>
    </xf>
    <xf numFmtId="0" fontId="12" fillId="13" borderId="33" xfId="59" applyFont="1" applyFill="1" applyBorder="1" applyAlignment="1">
      <alignment horizontal="center"/>
      <protection/>
    </xf>
    <xf numFmtId="0" fontId="12" fillId="13" borderId="34" xfId="59" applyFont="1" applyFill="1" applyBorder="1" applyAlignment="1">
      <alignment horizontal="center"/>
      <protection/>
    </xf>
    <xf numFmtId="4" fontId="12" fillId="13" borderId="48" xfId="59" applyNumberFormat="1" applyFont="1" applyFill="1" applyBorder="1" applyAlignment="1">
      <alignment horizontal="center" vertical="center"/>
      <protection/>
    </xf>
    <xf numFmtId="0" fontId="12" fillId="0" borderId="0" xfId="59" applyFont="1" applyFill="1" applyBorder="1" applyAlignment="1">
      <alignment horizontal="center"/>
      <protection/>
    </xf>
    <xf numFmtId="0" fontId="12" fillId="0" borderId="0" xfId="59" applyFont="1" applyFill="1" applyBorder="1" applyAlignment="1">
      <alignment horizontal="left"/>
      <protection/>
    </xf>
    <xf numFmtId="4" fontId="12" fillId="0" borderId="0" xfId="59" applyNumberFormat="1" applyFont="1" applyFill="1" applyBorder="1" applyAlignment="1">
      <alignment horizontal="center" vertical="center"/>
      <protection/>
    </xf>
    <xf numFmtId="0" fontId="18" fillId="0" borderId="0" xfId="59" applyFont="1" applyAlignment="1">
      <alignment/>
      <protection/>
    </xf>
    <xf numFmtId="174" fontId="12" fillId="0" borderId="0" xfId="59" applyNumberFormat="1" applyFont="1" applyFill="1" applyBorder="1" applyAlignment="1">
      <alignment horizontal="left"/>
      <protection/>
    </xf>
    <xf numFmtId="0" fontId="5" fillId="0" borderId="0" xfId="59" applyFont="1" applyFill="1" applyBorder="1" applyAlignment="1">
      <alignment horizontal="left"/>
      <protection/>
    </xf>
    <xf numFmtId="0" fontId="24" fillId="0" borderId="0" xfId="59" applyFont="1" applyFill="1">
      <alignment/>
      <protection/>
    </xf>
    <xf numFmtId="0" fontId="17" fillId="0" borderId="0" xfId="59" applyFont="1" applyAlignment="1">
      <alignment vertical="center"/>
      <protection/>
    </xf>
    <xf numFmtId="0" fontId="25" fillId="0" borderId="0" xfId="59" applyFont="1">
      <alignment/>
      <protection/>
    </xf>
    <xf numFmtId="0" fontId="18" fillId="35" borderId="10" xfId="59" applyFont="1" applyFill="1" applyBorder="1" applyAlignment="1">
      <alignment/>
      <protection/>
    </xf>
    <xf numFmtId="4" fontId="12" fillId="35" borderId="10" xfId="59" applyNumberFormat="1" applyFont="1" applyFill="1" applyBorder="1" applyAlignment="1">
      <alignment horizontal="center" vertical="center"/>
      <protection/>
    </xf>
    <xf numFmtId="4" fontId="12" fillId="13" borderId="10" xfId="59" applyNumberFormat="1" applyFont="1" applyFill="1" applyBorder="1" applyAlignment="1">
      <alignment horizontal="center" vertical="center"/>
      <protection/>
    </xf>
    <xf numFmtId="0" fontId="18" fillId="35" borderId="11" xfId="59" applyFont="1" applyFill="1" applyBorder="1" applyAlignment="1">
      <alignment horizontal="center"/>
      <protection/>
    </xf>
    <xf numFmtId="4" fontId="12" fillId="35" borderId="11" xfId="59" applyNumberFormat="1" applyFont="1" applyFill="1" applyBorder="1" applyAlignment="1">
      <alignment horizontal="center" vertical="center"/>
      <protection/>
    </xf>
    <xf numFmtId="4" fontId="12" fillId="13" borderId="11" xfId="59" applyNumberFormat="1" applyFont="1" applyFill="1" applyBorder="1" applyAlignment="1">
      <alignment horizontal="center" vertical="center"/>
      <protection/>
    </xf>
    <xf numFmtId="0" fontId="12" fillId="13" borderId="49" xfId="59" applyFont="1" applyFill="1" applyBorder="1" applyAlignment="1">
      <alignment horizontal="center"/>
      <protection/>
    </xf>
    <xf numFmtId="4" fontId="12" fillId="13" borderId="49" xfId="59" applyNumberFormat="1" applyFont="1" applyFill="1" applyBorder="1" applyAlignment="1">
      <alignment horizontal="center" vertical="center"/>
      <protection/>
    </xf>
    <xf numFmtId="0" fontId="18" fillId="36" borderId="10" xfId="59" applyFont="1" applyFill="1" applyBorder="1" applyAlignment="1">
      <alignment/>
      <protection/>
    </xf>
    <xf numFmtId="0" fontId="5" fillId="35" borderId="10" xfId="59" applyFont="1" applyFill="1" applyBorder="1" applyAlignment="1">
      <alignment horizontal="center"/>
      <protection/>
    </xf>
    <xf numFmtId="10" fontId="18" fillId="35" borderId="10" xfId="72" applyNumberFormat="1" applyFont="1" applyFill="1" applyBorder="1" applyAlignment="1">
      <alignment horizontal="center"/>
    </xf>
    <xf numFmtId="10" fontId="12" fillId="35" borderId="10" xfId="72" applyNumberFormat="1" applyFont="1" applyFill="1" applyBorder="1" applyAlignment="1">
      <alignment horizontal="center"/>
    </xf>
    <xf numFmtId="10" fontId="12" fillId="36" borderId="10" xfId="70" applyNumberFormat="1" applyFont="1" applyFill="1" applyBorder="1" applyAlignment="1">
      <alignment horizontal="center" vertical="center"/>
    </xf>
    <xf numFmtId="0" fontId="12" fillId="36" borderId="10" xfId="59" applyFont="1" applyFill="1" applyBorder="1" applyAlignment="1">
      <alignment horizontal="center" vertical="center"/>
      <protection/>
    </xf>
    <xf numFmtId="0" fontId="6" fillId="0" borderId="0" xfId="59" applyFont="1" applyBorder="1" applyAlignment="1">
      <alignment wrapText="1"/>
      <protection/>
    </xf>
    <xf numFmtId="4" fontId="17" fillId="0" borderId="0" xfId="59" applyNumberFormat="1" applyFont="1">
      <alignment/>
      <protection/>
    </xf>
    <xf numFmtId="0" fontId="10" fillId="0" borderId="0" xfId="59" applyFont="1" applyBorder="1">
      <alignment/>
      <protection/>
    </xf>
    <xf numFmtId="0" fontId="10" fillId="0" borderId="0" xfId="59" applyFont="1" applyAlignment="1">
      <alignment horizontal="right"/>
      <protection/>
    </xf>
    <xf numFmtId="3" fontId="8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3" fontId="9" fillId="0" borderId="50" xfId="64" applyNumberFormat="1" applyFont="1" applyFill="1" applyBorder="1">
      <alignment/>
      <protection/>
    </xf>
    <xf numFmtId="3" fontId="9" fillId="0" borderId="51" xfId="64" applyNumberFormat="1" applyFont="1" applyFill="1" applyBorder="1">
      <alignment/>
      <protection/>
    </xf>
    <xf numFmtId="3" fontId="9" fillId="0" borderId="50" xfId="58" applyNumberFormat="1" applyFont="1" applyFill="1" applyBorder="1">
      <alignment/>
      <protection/>
    </xf>
    <xf numFmtId="3" fontId="9" fillId="0" borderId="19" xfId="58" applyNumberFormat="1" applyFont="1" applyFill="1" applyBorder="1">
      <alignment/>
      <protection/>
    </xf>
    <xf numFmtId="3" fontId="9" fillId="0" borderId="19" xfId="59" applyNumberFormat="1" applyFont="1" applyFill="1" applyBorder="1">
      <alignment/>
      <protection/>
    </xf>
    <xf numFmtId="3" fontId="9" fillId="0" borderId="51" xfId="58" applyNumberFormat="1" applyFont="1" applyFill="1" applyBorder="1">
      <alignment/>
      <protection/>
    </xf>
    <xf numFmtId="3" fontId="9" fillId="0" borderId="20" xfId="58" applyNumberFormat="1" applyFont="1" applyFill="1" applyBorder="1">
      <alignment/>
      <protection/>
    </xf>
    <xf numFmtId="3" fontId="9" fillId="0" borderId="20" xfId="59" applyNumberFormat="1" applyFont="1" applyFill="1" applyBorder="1">
      <alignment/>
      <protection/>
    </xf>
    <xf numFmtId="4" fontId="9" fillId="0" borderId="50" xfId="58" applyNumberFormat="1" applyFont="1" applyFill="1" applyBorder="1">
      <alignment/>
      <protection/>
    </xf>
    <xf numFmtId="4" fontId="9" fillId="0" borderId="19" xfId="58" applyNumberFormat="1" applyFont="1" applyFill="1" applyBorder="1">
      <alignment/>
      <protection/>
    </xf>
    <xf numFmtId="3" fontId="9" fillId="0" borderId="50" xfId="44" applyNumberFormat="1" applyFont="1" applyFill="1" applyBorder="1" applyAlignment="1">
      <alignment horizontal="right" vertical="center"/>
    </xf>
    <xf numFmtId="3" fontId="9" fillId="0" borderId="19" xfId="44" applyNumberFormat="1" applyFont="1" applyFill="1" applyBorder="1" applyAlignment="1">
      <alignment horizontal="right" vertical="center"/>
    </xf>
    <xf numFmtId="3" fontId="9" fillId="0" borderId="51" xfId="44" applyNumberFormat="1" applyFont="1" applyFill="1" applyBorder="1" applyAlignment="1">
      <alignment horizontal="right" vertical="center"/>
    </xf>
    <xf numFmtId="3" fontId="9" fillId="0" borderId="20" xfId="44" applyNumberFormat="1" applyFont="1" applyFill="1" applyBorder="1" applyAlignment="1">
      <alignment horizontal="right" vertical="center"/>
    </xf>
    <xf numFmtId="4" fontId="9" fillId="0" borderId="50" xfId="44" applyNumberFormat="1" applyFont="1" applyFill="1" applyBorder="1" applyAlignment="1">
      <alignment horizontal="right" vertical="center"/>
    </xf>
    <xf numFmtId="4" fontId="9" fillId="0" borderId="19" xfId="44" applyNumberFormat="1" applyFont="1" applyFill="1" applyBorder="1" applyAlignment="1">
      <alignment horizontal="right" vertical="center"/>
    </xf>
    <xf numFmtId="3" fontId="9" fillId="0" borderId="19" xfId="63" applyNumberFormat="1" applyFont="1" applyFill="1" applyBorder="1">
      <alignment/>
      <protection/>
    </xf>
    <xf numFmtId="3" fontId="9" fillId="0" borderId="50" xfId="63" applyNumberFormat="1" applyFont="1" applyFill="1" applyBorder="1">
      <alignment/>
      <protection/>
    </xf>
    <xf numFmtId="4" fontId="9" fillId="0" borderId="19" xfId="63" applyNumberFormat="1" applyFont="1" applyFill="1" applyBorder="1">
      <alignment/>
      <protection/>
    </xf>
    <xf numFmtId="3" fontId="9" fillId="0" borderId="20" xfId="63" applyNumberFormat="1" applyFont="1" applyFill="1" applyBorder="1">
      <alignment/>
      <protection/>
    </xf>
    <xf numFmtId="3" fontId="9" fillId="0" borderId="51" xfId="63" applyNumberFormat="1" applyFont="1" applyFill="1" applyBorder="1">
      <alignment/>
      <protection/>
    </xf>
    <xf numFmtId="3" fontId="9" fillId="0" borderId="26" xfId="64" applyNumberFormat="1" applyFont="1" applyFill="1" applyBorder="1">
      <alignment/>
      <protection/>
    </xf>
    <xf numFmtId="4" fontId="9" fillId="0" borderId="20" xfId="64" applyNumberFormat="1" applyFont="1" applyFill="1" applyBorder="1">
      <alignment/>
      <protection/>
    </xf>
    <xf numFmtId="3" fontId="9" fillId="0" borderId="52" xfId="64" applyNumberFormat="1" applyFont="1" applyFill="1" applyBorder="1">
      <alignment/>
      <protection/>
    </xf>
    <xf numFmtId="3" fontId="9" fillId="0" borderId="53" xfId="64" applyNumberFormat="1" applyFont="1" applyFill="1" applyBorder="1">
      <alignment/>
      <protection/>
    </xf>
    <xf numFmtId="4" fontId="9" fillId="37" borderId="19" xfId="64" applyNumberFormat="1" applyFont="1" applyFill="1" applyBorder="1">
      <alignment/>
      <protection/>
    </xf>
    <xf numFmtId="4" fontId="18" fillId="37" borderId="10" xfId="59" applyNumberFormat="1" applyFont="1" applyFill="1" applyBorder="1" applyAlignment="1">
      <alignment vertical="center"/>
      <protection/>
    </xf>
    <xf numFmtId="4" fontId="5" fillId="7" borderId="21" xfId="59" applyNumberFormat="1" applyFont="1" applyFill="1" applyBorder="1">
      <alignment/>
      <protection/>
    </xf>
    <xf numFmtId="0" fontId="86" fillId="0" borderId="0" xfId="59" applyFont="1" applyFill="1">
      <alignment/>
      <protection/>
    </xf>
    <xf numFmtId="4" fontId="5" fillId="7" borderId="22" xfId="59" applyNumberFormat="1" applyFont="1" applyFill="1" applyBorder="1">
      <alignment/>
      <protection/>
    </xf>
    <xf numFmtId="0" fontId="9" fillId="0" borderId="0" xfId="59" applyFont="1" applyFill="1">
      <alignment/>
      <protection/>
    </xf>
    <xf numFmtId="3" fontId="9" fillId="0" borderId="19" xfId="64" applyNumberFormat="1" applyFont="1" applyFill="1" applyBorder="1" applyAlignment="1">
      <alignment vertical="center"/>
      <protection/>
    </xf>
    <xf numFmtId="3" fontId="9" fillId="0" borderId="20" xfId="64" applyNumberFormat="1" applyFont="1" applyFill="1" applyBorder="1" applyAlignment="1">
      <alignment vertical="center"/>
      <protection/>
    </xf>
    <xf numFmtId="0" fontId="8" fillId="0" borderId="10" xfId="0" applyFont="1" applyFill="1" applyBorder="1" applyAlignment="1">
      <alignment horizontal="left" wrapText="1" indent="2"/>
    </xf>
    <xf numFmtId="3" fontId="4" fillId="0" borderId="10" xfId="0" applyNumberFormat="1" applyFont="1" applyFill="1" applyBorder="1" applyAlignment="1">
      <alignment horizontal="center" vertical="center"/>
    </xf>
    <xf numFmtId="4" fontId="5" fillId="7" borderId="21" xfId="59" applyNumberFormat="1" applyFont="1" applyFill="1" applyBorder="1" applyAlignment="1">
      <alignment vertical="center"/>
      <protection/>
    </xf>
    <xf numFmtId="4" fontId="5" fillId="7" borderId="22" xfId="59" applyNumberFormat="1" applyFont="1" applyFill="1" applyBorder="1" applyAlignment="1">
      <alignment vertical="center"/>
      <protection/>
    </xf>
    <xf numFmtId="0" fontId="9" fillId="0" borderId="0" xfId="59" applyFont="1" applyFill="1" applyAlignment="1">
      <alignment vertical="center"/>
      <protection/>
    </xf>
    <xf numFmtId="3" fontId="9" fillId="0" borderId="54" xfId="64" applyNumberFormat="1" applyFont="1" applyFill="1" applyBorder="1">
      <alignment/>
      <protection/>
    </xf>
    <xf numFmtId="3" fontId="5" fillId="36" borderId="10" xfId="59" applyNumberFormat="1" applyFont="1" applyFill="1" applyBorder="1" applyAlignment="1">
      <alignment horizontal="center" vertical="center"/>
      <protection/>
    </xf>
    <xf numFmtId="4" fontId="97" fillId="0" borderId="10" xfId="0" applyNumberFormat="1" applyFont="1" applyBorder="1" applyAlignment="1">
      <alignment vertical="top"/>
    </xf>
    <xf numFmtId="0" fontId="5" fillId="33" borderId="13" xfId="59" applyFont="1" applyFill="1" applyBorder="1" applyAlignment="1">
      <alignment horizontal="center" vertical="center"/>
      <protection/>
    </xf>
    <xf numFmtId="0" fontId="5" fillId="33" borderId="16" xfId="59" applyFont="1" applyFill="1" applyBorder="1" applyAlignment="1">
      <alignment horizontal="center" vertical="center"/>
      <protection/>
    </xf>
    <xf numFmtId="0" fontId="8" fillId="0" borderId="0" xfId="59" applyFont="1" applyAlignment="1">
      <alignment horizontal="center"/>
      <protection/>
    </xf>
    <xf numFmtId="0" fontId="8" fillId="0" borderId="0" xfId="59" applyFont="1" applyAlignment="1">
      <alignment vertical="top"/>
      <protection/>
    </xf>
    <xf numFmtId="3" fontId="2" fillId="0" borderId="0" xfId="59" applyNumberFormat="1" applyFont="1">
      <alignment/>
      <protection/>
    </xf>
    <xf numFmtId="3" fontId="5" fillId="0" borderId="0" xfId="0" applyNumberFormat="1" applyFont="1" applyAlignment="1">
      <alignment/>
    </xf>
    <xf numFmtId="10" fontId="9" fillId="0" borderId="55" xfId="64" applyNumberFormat="1" applyFont="1" applyFill="1" applyBorder="1" applyAlignment="1">
      <alignment horizontal="center" vertical="center"/>
      <protection/>
    </xf>
    <xf numFmtId="173" fontId="9" fillId="0" borderId="56" xfId="59" applyNumberFormat="1" applyFont="1" applyFill="1" applyBorder="1" applyAlignment="1">
      <alignment horizontal="center" vertical="center"/>
      <protection/>
    </xf>
    <xf numFmtId="10" fontId="9" fillId="0" borderId="55" xfId="58" applyNumberFormat="1" applyFont="1" applyFill="1" applyBorder="1" applyAlignment="1">
      <alignment horizontal="center" vertical="center"/>
      <protection/>
    </xf>
    <xf numFmtId="4" fontId="9" fillId="0" borderId="27" xfId="58" applyNumberFormat="1" applyFont="1" applyFill="1" applyBorder="1">
      <alignment/>
      <protection/>
    </xf>
    <xf numFmtId="10" fontId="9" fillId="0" borderId="56" xfId="59" applyNumberFormat="1" applyFont="1" applyFill="1" applyBorder="1" applyAlignment="1">
      <alignment horizontal="center" vertical="center"/>
      <protection/>
    </xf>
    <xf numFmtId="4" fontId="9" fillId="0" borderId="26" xfId="58" applyNumberFormat="1" applyFont="1" applyFill="1" applyBorder="1">
      <alignment/>
      <protection/>
    </xf>
    <xf numFmtId="4" fontId="9" fillId="0" borderId="20" xfId="58" applyNumberFormat="1" applyFont="1" applyFill="1" applyBorder="1">
      <alignment/>
      <protection/>
    </xf>
    <xf numFmtId="4" fontId="9" fillId="0" borderId="27" xfId="44" applyNumberFormat="1" applyFont="1" applyFill="1" applyBorder="1" applyAlignment="1">
      <alignment horizontal="right" vertical="center"/>
    </xf>
    <xf numFmtId="4" fontId="9" fillId="0" borderId="26" xfId="44" applyNumberFormat="1" applyFont="1" applyFill="1" applyBorder="1" applyAlignment="1">
      <alignment horizontal="right" vertical="center"/>
    </xf>
    <xf numFmtId="4" fontId="9" fillId="0" borderId="20" xfId="44" applyNumberFormat="1" applyFont="1" applyFill="1" applyBorder="1" applyAlignment="1">
      <alignment horizontal="right" vertical="center"/>
    </xf>
    <xf numFmtId="4" fontId="9" fillId="0" borderId="57" xfId="58" applyNumberFormat="1" applyFont="1" applyFill="1" applyBorder="1">
      <alignment/>
      <protection/>
    </xf>
    <xf numFmtId="4" fontId="9" fillId="0" borderId="20" xfId="63" applyNumberFormat="1" applyFont="1" applyFill="1" applyBorder="1">
      <alignment/>
      <protection/>
    </xf>
    <xf numFmtId="4" fontId="9" fillId="0" borderId="27" xfId="63" applyNumberFormat="1" applyFont="1" applyFill="1" applyBorder="1">
      <alignment/>
      <protection/>
    </xf>
    <xf numFmtId="4" fontId="9" fillId="0" borderId="26" xfId="63" applyNumberFormat="1" applyFont="1" applyFill="1" applyBorder="1">
      <alignment/>
      <protection/>
    </xf>
    <xf numFmtId="4" fontId="9" fillId="0" borderId="26" xfId="64" applyNumberFormat="1" applyFont="1" applyFill="1" applyBorder="1">
      <alignment/>
      <protection/>
    </xf>
    <xf numFmtId="173" fontId="9" fillId="0" borderId="19" xfId="64" applyNumberFormat="1" applyFont="1" applyFill="1" applyBorder="1" applyAlignment="1">
      <alignment horizontal="center" vertical="center"/>
      <protection/>
    </xf>
    <xf numFmtId="4" fontId="9" fillId="0" borderId="58" xfId="64" applyNumberFormat="1" applyFont="1" applyFill="1" applyBorder="1">
      <alignment/>
      <protection/>
    </xf>
    <xf numFmtId="4" fontId="9" fillId="0" borderId="53" xfId="64" applyNumberFormat="1" applyFont="1" applyFill="1" applyBorder="1">
      <alignment/>
      <protection/>
    </xf>
    <xf numFmtId="4" fontId="9" fillId="0" borderId="19" xfId="65" applyNumberFormat="1" applyFont="1" applyFill="1" applyBorder="1">
      <alignment/>
      <protection/>
    </xf>
    <xf numFmtId="3" fontId="9" fillId="0" borderId="19" xfId="65" applyNumberFormat="1" applyFont="1" applyFill="1" applyBorder="1">
      <alignment/>
      <protection/>
    </xf>
    <xf numFmtId="4" fontId="9" fillId="0" borderId="20" xfId="65" applyNumberFormat="1" applyFont="1" applyFill="1" applyBorder="1">
      <alignment/>
      <protection/>
    </xf>
    <xf numFmtId="3" fontId="9" fillId="0" borderId="20" xfId="65" applyNumberFormat="1" applyFont="1" applyFill="1" applyBorder="1">
      <alignment/>
      <protection/>
    </xf>
    <xf numFmtId="4" fontId="9" fillId="0" borderId="19" xfId="64" applyNumberFormat="1" applyFont="1" applyFill="1" applyBorder="1" applyAlignment="1">
      <alignment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175" fontId="5" fillId="36" borderId="10" xfId="59" applyNumberFormat="1" applyFont="1" applyFill="1" applyBorder="1" applyAlignment="1">
      <alignment horizontal="center"/>
      <protection/>
    </xf>
    <xf numFmtId="3" fontId="5" fillId="36" borderId="10" xfId="59" applyNumberFormat="1" applyFont="1" applyFill="1" applyBorder="1" applyAlignment="1">
      <alignment horizontal="center"/>
      <protection/>
    </xf>
    <xf numFmtId="0" fontId="5" fillId="0" borderId="0" xfId="59" applyFont="1" applyBorder="1" applyAlignment="1">
      <alignment horizontal="right" vertical="center"/>
      <protection/>
    </xf>
    <xf numFmtId="4" fontId="97" fillId="0" borderId="0" xfId="0" applyNumberFormat="1" applyFont="1" applyBorder="1" applyAlignment="1">
      <alignment vertical="top"/>
    </xf>
    <xf numFmtId="0" fontId="84" fillId="0" borderId="0" xfId="0" applyFont="1" applyAlignment="1">
      <alignment wrapText="1"/>
    </xf>
    <xf numFmtId="0" fontId="98" fillId="0" borderId="0" xfId="0" applyFont="1" applyAlignment="1">
      <alignment/>
    </xf>
    <xf numFmtId="0" fontId="87" fillId="7" borderId="10" xfId="0" applyFont="1" applyFill="1" applyBorder="1" applyAlignment="1">
      <alignment horizontal="right" vertical="center"/>
    </xf>
    <xf numFmtId="0" fontId="87" fillId="7" borderId="10" xfId="0" applyFont="1" applyFill="1" applyBorder="1" applyAlignment="1">
      <alignment horizontal="left" vertical="center" wrapText="1" indent="2"/>
    </xf>
    <xf numFmtId="3" fontId="99" fillId="7" borderId="10" xfId="0" applyNumberFormat="1" applyFont="1" applyFill="1" applyBorder="1" applyAlignment="1">
      <alignment vertical="center"/>
    </xf>
    <xf numFmtId="3" fontId="86" fillId="7" borderId="10" xfId="0" applyNumberFormat="1" applyFont="1" applyFill="1" applyBorder="1" applyAlignment="1">
      <alignment vertical="center"/>
    </xf>
    <xf numFmtId="3" fontId="87" fillId="7" borderId="10" xfId="0" applyNumberFormat="1" applyFont="1" applyFill="1" applyBorder="1" applyAlignment="1">
      <alignment vertical="center"/>
    </xf>
    <xf numFmtId="0" fontId="99" fillId="7" borderId="10" xfId="0" applyFont="1" applyFill="1" applyBorder="1" applyAlignment="1">
      <alignment vertical="center"/>
    </xf>
    <xf numFmtId="0" fontId="99" fillId="7" borderId="10" xfId="0" applyFont="1" applyFill="1" applyBorder="1" applyAlignment="1">
      <alignment vertical="center" wrapText="1"/>
    </xf>
    <xf numFmtId="3" fontId="100" fillId="7" borderId="10" xfId="0" applyNumberFormat="1" applyFont="1" applyFill="1" applyBorder="1" applyAlignment="1">
      <alignment vertical="center"/>
    </xf>
    <xf numFmtId="3" fontId="99" fillId="7" borderId="10" xfId="0" applyNumberFormat="1" applyFont="1" applyFill="1" applyBorder="1" applyAlignment="1">
      <alignment horizontal="right" vertical="center"/>
    </xf>
    <xf numFmtId="3" fontId="86" fillId="7" borderId="10" xfId="0" applyNumberFormat="1" applyFont="1" applyFill="1" applyBorder="1" applyAlignment="1">
      <alignment horizontal="right" vertical="center"/>
    </xf>
    <xf numFmtId="3" fontId="87" fillId="7" borderId="10" xfId="0" applyNumberFormat="1" applyFont="1" applyFill="1" applyBorder="1" applyAlignment="1">
      <alignment horizontal="right" vertical="center"/>
    </xf>
    <xf numFmtId="0" fontId="86" fillId="0" borderId="0" xfId="0" applyFont="1" applyAlignment="1">
      <alignment/>
    </xf>
    <xf numFmtId="0" fontId="86" fillId="0" borderId="0" xfId="0" applyFont="1" applyAlignment="1">
      <alignment wrapText="1"/>
    </xf>
    <xf numFmtId="0" fontId="87" fillId="0" borderId="0" xfId="0" applyFont="1" applyAlignment="1">
      <alignment/>
    </xf>
    <xf numFmtId="0" fontId="99" fillId="0" borderId="0" xfId="0" applyFont="1" applyAlignment="1">
      <alignment/>
    </xf>
    <xf numFmtId="0" fontId="16" fillId="0" borderId="0" xfId="58" applyFont="1">
      <alignment/>
      <protection/>
    </xf>
    <xf numFmtId="0" fontId="2" fillId="38" borderId="0" xfId="58" applyFont="1" applyFill="1" applyAlignment="1">
      <alignment horizontal="left" vertical="top" wrapText="1"/>
      <protection/>
    </xf>
    <xf numFmtId="0" fontId="4" fillId="38" borderId="10" xfId="58" applyFont="1" applyFill="1" applyBorder="1" applyAlignment="1">
      <alignment horizontal="center" vertical="center" wrapText="1"/>
      <protection/>
    </xf>
    <xf numFmtId="0" fontId="6" fillId="0" borderId="0" xfId="58" applyFont="1">
      <alignment/>
      <protection/>
    </xf>
    <xf numFmtId="0" fontId="6" fillId="0" borderId="0" xfId="58" applyFont="1" applyAlignment="1">
      <alignment vertical="center"/>
      <protection/>
    </xf>
    <xf numFmtId="0" fontId="6" fillId="0" borderId="0" xfId="58" applyFont="1" applyAlignment="1">
      <alignment horizontal="right" vertical="center" wrapText="1"/>
      <protection/>
    </xf>
    <xf numFmtId="0" fontId="10" fillId="0" borderId="0" xfId="58" applyFont="1" applyAlignment="1">
      <alignment vertical="center"/>
      <protection/>
    </xf>
    <xf numFmtId="0" fontId="10" fillId="0" borderId="0" xfId="58" applyFont="1" applyAlignment="1">
      <alignment vertical="center" wrapText="1"/>
      <protection/>
    </xf>
    <xf numFmtId="0" fontId="4" fillId="38" borderId="0" xfId="58" applyFont="1" applyFill="1" applyAlignment="1">
      <alignment horizontal="left" vertical="top" wrapText="1"/>
      <protection/>
    </xf>
    <xf numFmtId="0" fontId="16" fillId="0" borderId="0" xfId="58" applyFont="1" applyAlignment="1">
      <alignment vertical="center"/>
      <protection/>
    </xf>
    <xf numFmtId="3" fontId="2" fillId="38" borderId="0" xfId="58" applyNumberFormat="1" applyFont="1" applyFill="1" applyAlignment="1">
      <alignment horizontal="right" vertical="center" wrapText="1"/>
      <protection/>
    </xf>
    <xf numFmtId="3" fontId="4" fillId="38" borderId="0" xfId="58" applyNumberFormat="1" applyFont="1" applyFill="1" applyAlignment="1">
      <alignment horizontal="right" vertical="center" wrapText="1"/>
      <protection/>
    </xf>
    <xf numFmtId="0" fontId="9" fillId="38" borderId="0" xfId="58" applyFont="1" applyFill="1" applyAlignment="1">
      <alignment horizontal="right" vertical="center" wrapText="1"/>
      <protection/>
    </xf>
    <xf numFmtId="0" fontId="17" fillId="0" borderId="0" xfId="58" applyFont="1">
      <alignment/>
      <protection/>
    </xf>
    <xf numFmtId="0" fontId="17" fillId="3" borderId="0" xfId="58" applyFont="1" applyFill="1">
      <alignment/>
      <protection/>
    </xf>
    <xf numFmtId="0" fontId="4" fillId="3" borderId="0" xfId="58" applyFont="1" applyFill="1" applyAlignment="1">
      <alignment horizontal="left" vertical="top" wrapText="1"/>
      <protection/>
    </xf>
    <xf numFmtId="3" fontId="4" fillId="3" borderId="0" xfId="58" applyNumberFormat="1" applyFont="1" applyFill="1" applyAlignment="1">
      <alignment horizontal="right" vertical="center" wrapText="1"/>
      <protection/>
    </xf>
    <xf numFmtId="0" fontId="6" fillId="0" borderId="0" xfId="59" applyFont="1" applyBorder="1">
      <alignment/>
      <protection/>
    </xf>
    <xf numFmtId="0" fontId="16" fillId="0" borderId="0" xfId="59">
      <alignment/>
      <protection/>
    </xf>
    <xf numFmtId="0" fontId="6" fillId="0" borderId="0" xfId="59" applyFont="1" applyFill="1" applyAlignment="1">
      <alignment horizontal="right"/>
      <protection/>
    </xf>
    <xf numFmtId="0" fontId="2" fillId="0" borderId="0" xfId="59" applyFont="1" applyFill="1" applyBorder="1" applyAlignment="1">
      <alignment horizontal="right"/>
      <protection/>
    </xf>
    <xf numFmtId="0" fontId="101" fillId="0" borderId="0" xfId="59" applyFont="1">
      <alignment/>
      <protection/>
    </xf>
    <xf numFmtId="0" fontId="101" fillId="0" borderId="0" xfId="59" applyFont="1" applyAlignment="1">
      <alignment horizontal="right"/>
      <protection/>
    </xf>
    <xf numFmtId="0" fontId="102" fillId="33" borderId="10" xfId="59" applyFont="1" applyFill="1" applyBorder="1" applyAlignment="1">
      <alignment horizontal="center" vertical="center"/>
      <protection/>
    </xf>
    <xf numFmtId="0" fontId="103" fillId="33" borderId="10" xfId="59" applyFont="1" applyFill="1" applyBorder="1" applyAlignment="1">
      <alignment horizontal="center" vertical="center"/>
      <protection/>
    </xf>
    <xf numFmtId="0" fontId="7" fillId="13" borderId="0" xfId="59" applyFont="1" applyFill="1" applyAlignment="1">
      <alignment horizontal="center"/>
      <protection/>
    </xf>
    <xf numFmtId="0" fontId="102" fillId="13" borderId="10" xfId="59" applyFont="1" applyFill="1" applyBorder="1" applyAlignment="1">
      <alignment horizontal="center" vertical="center" wrapText="1"/>
      <protection/>
    </xf>
    <xf numFmtId="3" fontId="7" fillId="13" borderId="10" xfId="59" applyNumberFormat="1" applyFont="1" applyFill="1" applyBorder="1">
      <alignment/>
      <protection/>
    </xf>
    <xf numFmtId="0" fontId="103" fillId="0" borderId="10" xfId="59" applyFont="1" applyBorder="1">
      <alignment/>
      <protection/>
    </xf>
    <xf numFmtId="0" fontId="103" fillId="0" borderId="10" xfId="59" applyFont="1" applyBorder="1" applyAlignment="1">
      <alignment vertical="center" wrapText="1"/>
      <protection/>
    </xf>
    <xf numFmtId="0" fontId="102" fillId="13" borderId="10" xfId="59" applyFont="1" applyFill="1" applyBorder="1" applyAlignment="1">
      <alignment horizontal="center"/>
      <protection/>
    </xf>
    <xf numFmtId="3" fontId="7" fillId="13" borderId="10" xfId="59" applyNumberFormat="1" applyFont="1" applyFill="1" applyBorder="1" applyAlignment="1">
      <alignment horizontal="right" vertical="center" wrapText="1"/>
      <protection/>
    </xf>
    <xf numFmtId="0" fontId="103" fillId="0" borderId="10" xfId="59" applyFont="1" applyBorder="1" applyAlignment="1">
      <alignment vertical="center"/>
      <protection/>
    </xf>
    <xf numFmtId="0" fontId="103" fillId="0" borderId="10" xfId="59" applyFont="1" applyFill="1" applyBorder="1" applyAlignment="1">
      <alignment vertical="center" wrapText="1"/>
      <protection/>
    </xf>
    <xf numFmtId="3" fontId="6" fillId="0" borderId="10" xfId="59" applyNumberFormat="1" applyFont="1" applyBorder="1">
      <alignment/>
      <protection/>
    </xf>
    <xf numFmtId="3" fontId="16" fillId="0" borderId="0" xfId="59" applyNumberFormat="1">
      <alignment/>
      <protection/>
    </xf>
    <xf numFmtId="0" fontId="7" fillId="33" borderId="11" xfId="59" applyFont="1" applyFill="1" applyBorder="1" applyAlignment="1">
      <alignment horizontal="center" vertical="center" wrapText="1"/>
      <protection/>
    </xf>
    <xf numFmtId="3" fontId="6" fillId="0" borderId="10" xfId="59" applyNumberFormat="1" applyFont="1" applyFill="1" applyBorder="1" applyAlignment="1">
      <alignment horizontal="right" vertical="center"/>
      <protection/>
    </xf>
    <xf numFmtId="3" fontId="6" fillId="0" borderId="10" xfId="59" applyNumberFormat="1" applyFont="1" applyFill="1" applyBorder="1" applyAlignment="1">
      <alignment horizontal="right"/>
      <protection/>
    </xf>
    <xf numFmtId="0" fontId="10" fillId="0" borderId="0" xfId="59" applyFont="1">
      <alignment/>
      <protection/>
    </xf>
    <xf numFmtId="0" fontId="104" fillId="0" borderId="0" xfId="0" applyFont="1" applyAlignment="1">
      <alignment/>
    </xf>
    <xf numFmtId="4" fontId="9" fillId="0" borderId="20" xfId="64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7" fillId="38" borderId="0" xfId="58" applyFont="1" applyFill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7" fillId="3" borderId="0" xfId="58" applyFont="1" applyFill="1" applyAlignment="1">
      <alignment horizontal="left" vertical="top" wrapText="1"/>
      <protection/>
    </xf>
    <xf numFmtId="0" fontId="7" fillId="3" borderId="59" xfId="58" applyFont="1" applyFill="1" applyBorder="1" applyAlignment="1">
      <alignment horizontal="left" vertical="top" wrapText="1"/>
      <protection/>
    </xf>
    <xf numFmtId="0" fontId="0" fillId="0" borderId="59" xfId="0" applyBorder="1" applyAlignment="1">
      <alignment horizontal="left" vertical="top" wrapText="1"/>
    </xf>
    <xf numFmtId="0" fontId="6" fillId="0" borderId="0" xfId="58" applyFont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3" fillId="38" borderId="60" xfId="58" applyFont="1" applyFill="1" applyBorder="1" applyAlignment="1">
      <alignment horizontal="center" vertical="center" wrapText="1"/>
      <protection/>
    </xf>
    <xf numFmtId="0" fontId="0" fillId="0" borderId="60" xfId="0" applyBorder="1" applyAlignment="1">
      <alignment horizontal="center" vertical="center" wrapText="1"/>
    </xf>
    <xf numFmtId="0" fontId="7" fillId="38" borderId="39" xfId="58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20" xfId="63" applyFont="1" applyFill="1" applyBorder="1" applyAlignment="1">
      <alignment horizontal="center" vertical="center" wrapText="1"/>
      <protection/>
    </xf>
    <xf numFmtId="0" fontId="9" fillId="0" borderId="19" xfId="59" applyFont="1" applyFill="1" applyBorder="1" applyAlignment="1">
      <alignment horizontal="center" vertical="center" wrapText="1"/>
      <protection/>
    </xf>
    <xf numFmtId="0" fontId="9" fillId="0" borderId="20" xfId="59" applyFont="1" applyFill="1" applyBorder="1" applyAlignment="1">
      <alignment horizontal="center" vertical="center" wrapText="1"/>
      <protection/>
    </xf>
    <xf numFmtId="0" fontId="9" fillId="0" borderId="57" xfId="63" applyFont="1" applyFill="1" applyBorder="1" applyAlignment="1">
      <alignment horizontal="center" vertical="center" wrapText="1"/>
      <protection/>
    </xf>
    <xf numFmtId="0" fontId="9" fillId="0" borderId="61" xfId="63" applyFont="1" applyFill="1" applyBorder="1" applyAlignment="1">
      <alignment horizontal="center" vertical="center" wrapText="1"/>
      <protection/>
    </xf>
    <xf numFmtId="0" fontId="9" fillId="0" borderId="57" xfId="59" applyFont="1" applyFill="1" applyBorder="1" applyAlignment="1">
      <alignment horizontal="center" vertical="center" wrapText="1"/>
      <protection/>
    </xf>
    <xf numFmtId="0" fontId="9" fillId="0" borderId="61" xfId="59" applyFont="1" applyFill="1" applyBorder="1" applyAlignment="1">
      <alignment horizontal="center" vertical="center" wrapText="1"/>
      <protection/>
    </xf>
    <xf numFmtId="0" fontId="5" fillId="36" borderId="39" xfId="59" applyFont="1" applyFill="1" applyBorder="1" applyAlignment="1">
      <alignment horizontal="left"/>
      <protection/>
    </xf>
    <xf numFmtId="0" fontId="5" fillId="36" borderId="12" xfId="59" applyFont="1" applyFill="1" applyBorder="1" applyAlignment="1">
      <alignment horizontal="left"/>
      <protection/>
    </xf>
    <xf numFmtId="0" fontId="5" fillId="36" borderId="40" xfId="59" applyFont="1" applyFill="1" applyBorder="1" applyAlignment="1">
      <alignment horizontal="left"/>
      <protection/>
    </xf>
    <xf numFmtId="174" fontId="5" fillId="13" borderId="34" xfId="59" applyNumberFormat="1" applyFont="1" applyFill="1" applyBorder="1" applyAlignment="1">
      <alignment horizontal="left"/>
      <protection/>
    </xf>
    <xf numFmtId="0" fontId="5" fillId="13" borderId="34" xfId="59" applyFont="1" applyFill="1" applyBorder="1" applyAlignment="1">
      <alignment horizontal="left"/>
      <protection/>
    </xf>
    <xf numFmtId="0" fontId="5" fillId="36" borderId="39" xfId="59" applyFont="1" applyFill="1" applyBorder="1" applyAlignment="1">
      <alignment horizontal="left" vertical="center"/>
      <protection/>
    </xf>
    <xf numFmtId="0" fontId="5" fillId="36" borderId="12" xfId="59" applyFont="1" applyFill="1" applyBorder="1" applyAlignment="1">
      <alignment horizontal="left" vertical="center"/>
      <protection/>
    </xf>
    <xf numFmtId="0" fontId="5" fillId="36" borderId="40" xfId="59" applyFont="1" applyFill="1" applyBorder="1" applyAlignment="1">
      <alignment horizontal="left" vertical="center"/>
      <protection/>
    </xf>
    <xf numFmtId="174" fontId="5" fillId="36" borderId="39" xfId="59" applyNumberFormat="1" applyFont="1" applyFill="1" applyBorder="1" applyAlignment="1">
      <alignment horizontal="left"/>
      <protection/>
    </xf>
    <xf numFmtId="174" fontId="5" fillId="36" borderId="12" xfId="59" applyNumberFormat="1" applyFont="1" applyFill="1" applyBorder="1" applyAlignment="1">
      <alignment horizontal="left"/>
      <protection/>
    </xf>
    <xf numFmtId="174" fontId="5" fillId="36" borderId="40" xfId="59" applyNumberFormat="1" applyFont="1" applyFill="1" applyBorder="1" applyAlignment="1">
      <alignment horizontal="left"/>
      <protection/>
    </xf>
    <xf numFmtId="174" fontId="5" fillId="35" borderId="62" xfId="59" applyNumberFormat="1" applyFont="1" applyFill="1" applyBorder="1" applyAlignment="1">
      <alignment horizontal="left"/>
      <protection/>
    </xf>
    <xf numFmtId="174" fontId="5" fillId="35" borderId="59" xfId="59" applyNumberFormat="1" applyFont="1" applyFill="1" applyBorder="1" applyAlignment="1">
      <alignment horizontal="left"/>
      <protection/>
    </xf>
    <xf numFmtId="174" fontId="5" fillId="35" borderId="63" xfId="59" applyNumberFormat="1" applyFont="1" applyFill="1" applyBorder="1" applyAlignment="1">
      <alignment horizontal="left"/>
      <protection/>
    </xf>
    <xf numFmtId="174" fontId="12" fillId="13" borderId="64" xfId="59" applyNumberFormat="1" applyFont="1" applyFill="1" applyBorder="1" applyAlignment="1">
      <alignment horizontal="left"/>
      <protection/>
    </xf>
    <xf numFmtId="174" fontId="12" fillId="13" borderId="65" xfId="59" applyNumberFormat="1" applyFont="1" applyFill="1" applyBorder="1" applyAlignment="1">
      <alignment horizontal="left"/>
      <protection/>
    </xf>
    <xf numFmtId="174" fontId="12" fillId="13" borderId="66" xfId="59" applyNumberFormat="1" applyFont="1" applyFill="1" applyBorder="1" applyAlignment="1">
      <alignment horizontal="left"/>
      <protection/>
    </xf>
    <xf numFmtId="3" fontId="9" fillId="0" borderId="19" xfId="58" applyNumberFormat="1" applyFont="1" applyFill="1" applyBorder="1" applyAlignment="1">
      <alignment horizontal="center" vertical="center" wrapText="1"/>
      <protection/>
    </xf>
    <xf numFmtId="0" fontId="9" fillId="0" borderId="20" xfId="58" applyFont="1" applyFill="1" applyBorder="1" applyAlignment="1">
      <alignment horizontal="center" vertical="center" wrapText="1"/>
      <protection/>
    </xf>
    <xf numFmtId="175" fontId="9" fillId="0" borderId="19" xfId="44" applyNumberFormat="1" applyFont="1" applyFill="1" applyBorder="1" applyAlignment="1">
      <alignment horizontal="center" vertical="center"/>
    </xf>
    <xf numFmtId="175" fontId="9" fillId="0" borderId="20" xfId="44" applyNumberFormat="1" applyFont="1" applyFill="1" applyBorder="1" applyAlignment="1">
      <alignment horizontal="center" vertical="center"/>
    </xf>
    <xf numFmtId="0" fontId="9" fillId="0" borderId="19" xfId="59" applyFont="1" applyFill="1" applyBorder="1" applyAlignment="1">
      <alignment horizontal="center" wrapText="1"/>
      <protection/>
    </xf>
    <xf numFmtId="0" fontId="9" fillId="0" borderId="20" xfId="59" applyFont="1" applyFill="1" applyBorder="1" applyAlignment="1">
      <alignment horizontal="center" wrapText="1"/>
      <protection/>
    </xf>
    <xf numFmtId="174" fontId="5" fillId="36" borderId="67" xfId="59" applyNumberFormat="1" applyFont="1" applyFill="1" applyBorder="1" applyAlignment="1">
      <alignment horizontal="left"/>
      <protection/>
    </xf>
    <xf numFmtId="174" fontId="5" fillId="36" borderId="68" xfId="59" applyNumberFormat="1" applyFont="1" applyFill="1" applyBorder="1" applyAlignment="1">
      <alignment horizontal="left"/>
      <protection/>
    </xf>
    <xf numFmtId="174" fontId="5" fillId="36" borderId="69" xfId="59" applyNumberFormat="1" applyFont="1" applyFill="1" applyBorder="1" applyAlignment="1">
      <alignment horizontal="left"/>
      <protection/>
    </xf>
    <xf numFmtId="0" fontId="9" fillId="0" borderId="70" xfId="59" applyFont="1" applyFill="1" applyBorder="1" applyAlignment="1">
      <alignment horizontal="center"/>
      <protection/>
    </xf>
    <xf numFmtId="0" fontId="9" fillId="0" borderId="71" xfId="59" applyFont="1" applyFill="1" applyBorder="1" applyAlignment="1">
      <alignment horizontal="center"/>
      <protection/>
    </xf>
    <xf numFmtId="0" fontId="9" fillId="0" borderId="70" xfId="58" applyFont="1" applyFill="1" applyBorder="1" applyAlignment="1">
      <alignment horizontal="center"/>
      <protection/>
    </xf>
    <xf numFmtId="0" fontId="9" fillId="0" borderId="71" xfId="58" applyFont="1" applyFill="1" applyBorder="1" applyAlignment="1">
      <alignment horizontal="center"/>
      <protection/>
    </xf>
    <xf numFmtId="0" fontId="5" fillId="0" borderId="39" xfId="59" applyFont="1" applyBorder="1" applyAlignment="1">
      <alignment horizontal="right" vertical="center"/>
      <protection/>
    </xf>
    <xf numFmtId="0" fontId="5" fillId="0" borderId="12" xfId="59" applyFont="1" applyBorder="1" applyAlignment="1">
      <alignment horizontal="right" vertical="center"/>
      <protection/>
    </xf>
    <xf numFmtId="0" fontId="5" fillId="0" borderId="40" xfId="59" applyFont="1" applyBorder="1" applyAlignment="1">
      <alignment horizontal="right" vertical="center"/>
      <protection/>
    </xf>
    <xf numFmtId="0" fontId="9" fillId="0" borderId="10" xfId="59" applyFont="1" applyFill="1" applyBorder="1" applyAlignment="1">
      <alignment horizontal="right" vertical="center"/>
      <protection/>
    </xf>
    <xf numFmtId="0" fontId="9" fillId="0" borderId="39" xfId="59" applyFont="1" applyFill="1" applyBorder="1" applyAlignment="1">
      <alignment horizontal="right" vertical="center" wrapText="1"/>
      <protection/>
    </xf>
    <xf numFmtId="0" fontId="65" fillId="0" borderId="12" xfId="0" applyFont="1" applyBorder="1" applyAlignment="1">
      <alignment horizontal="right" vertical="center" wrapText="1"/>
    </xf>
    <xf numFmtId="0" fontId="65" fillId="0" borderId="40" xfId="0" applyFont="1" applyBorder="1" applyAlignment="1">
      <alignment horizontal="right" vertical="center" wrapText="1"/>
    </xf>
    <xf numFmtId="0" fontId="9" fillId="0" borderId="10" xfId="59" applyFont="1" applyBorder="1" applyAlignment="1">
      <alignment horizontal="right" vertical="center"/>
      <protection/>
    </xf>
    <xf numFmtId="0" fontId="87" fillId="0" borderId="0" xfId="59" applyFont="1" applyAlignment="1">
      <alignment horizontal="center"/>
      <protection/>
    </xf>
    <xf numFmtId="0" fontId="99" fillId="0" borderId="0" xfId="59" applyFont="1" applyAlignment="1">
      <alignment horizontal="right"/>
      <protection/>
    </xf>
    <xf numFmtId="0" fontId="9" fillId="0" borderId="70" xfId="59" applyFont="1" applyFill="1" applyBorder="1" applyAlignment="1">
      <alignment horizontal="center" vertical="center"/>
      <protection/>
    </xf>
    <xf numFmtId="0" fontId="9" fillId="0" borderId="71" xfId="59" applyFont="1" applyFill="1" applyBorder="1" applyAlignment="1">
      <alignment horizontal="center" vertical="center"/>
      <protection/>
    </xf>
    <xf numFmtId="4" fontId="9" fillId="0" borderId="19" xfId="44" applyNumberFormat="1" applyFont="1" applyFill="1" applyBorder="1" applyAlignment="1">
      <alignment horizontal="center" vertical="center"/>
    </xf>
    <xf numFmtId="4" fontId="9" fillId="0" borderId="20" xfId="44" applyNumberFormat="1" applyFont="1" applyFill="1" applyBorder="1" applyAlignment="1">
      <alignment horizontal="center" vertical="center"/>
    </xf>
    <xf numFmtId="0" fontId="9" fillId="0" borderId="26" xfId="63" applyFont="1" applyFill="1" applyBorder="1" applyAlignment="1">
      <alignment horizontal="center" vertical="center" wrapText="1"/>
      <protection/>
    </xf>
    <xf numFmtId="4" fontId="9" fillId="0" borderId="26" xfId="44" applyNumberFormat="1" applyFont="1" applyFill="1" applyBorder="1" applyAlignment="1">
      <alignment horizontal="center" vertical="center"/>
    </xf>
    <xf numFmtId="0" fontId="9" fillId="0" borderId="26" xfId="59" applyFont="1" applyFill="1" applyBorder="1" applyAlignment="1">
      <alignment horizontal="center" vertical="center" wrapText="1"/>
      <protection/>
    </xf>
    <xf numFmtId="4" fontId="9" fillId="0" borderId="19" xfId="44" applyNumberFormat="1" applyFont="1" applyFill="1" applyBorder="1" applyAlignment="1">
      <alignment horizontal="center" vertical="center" wrapText="1"/>
    </xf>
    <xf numFmtId="4" fontId="9" fillId="0" borderId="20" xfId="44" applyNumberFormat="1" applyFont="1" applyFill="1" applyBorder="1" applyAlignment="1">
      <alignment horizontal="center" vertical="center" wrapText="1"/>
    </xf>
    <xf numFmtId="0" fontId="9" fillId="0" borderId="72" xfId="59" applyFont="1" applyFill="1" applyBorder="1" applyAlignment="1">
      <alignment horizontal="center" vertical="center"/>
      <protection/>
    </xf>
    <xf numFmtId="0" fontId="9" fillId="0" borderId="27" xfId="63" applyFont="1" applyFill="1" applyBorder="1" applyAlignment="1">
      <alignment horizontal="center" vertical="center" wrapText="1"/>
      <protection/>
    </xf>
    <xf numFmtId="4" fontId="9" fillId="0" borderId="27" xfId="44" applyNumberFormat="1" applyFont="1" applyFill="1" applyBorder="1" applyAlignment="1">
      <alignment horizontal="center" vertical="center"/>
    </xf>
    <xf numFmtId="0" fontId="9" fillId="0" borderId="27" xfId="59" applyFont="1" applyFill="1" applyBorder="1" applyAlignment="1">
      <alignment horizontal="center" vertical="center" wrapText="1"/>
      <protection/>
    </xf>
    <xf numFmtId="0" fontId="9" fillId="0" borderId="73" xfId="59" applyFont="1" applyFill="1" applyBorder="1" applyAlignment="1">
      <alignment horizontal="center" vertical="center"/>
      <protection/>
    </xf>
    <xf numFmtId="3" fontId="9" fillId="0" borderId="19" xfId="63" applyNumberFormat="1" applyFont="1" applyFill="1" applyBorder="1" applyAlignment="1">
      <alignment horizontal="center" vertical="center" wrapText="1"/>
      <protection/>
    </xf>
    <xf numFmtId="14" fontId="9" fillId="0" borderId="19" xfId="59" applyNumberFormat="1" applyFont="1" applyFill="1" applyBorder="1" applyAlignment="1">
      <alignment horizontal="center" vertical="center" wrapText="1"/>
      <protection/>
    </xf>
    <xf numFmtId="0" fontId="7" fillId="0" borderId="0" xfId="63" applyFont="1" applyBorder="1" applyAlignment="1">
      <alignment horizontal="center"/>
      <protection/>
    </xf>
    <xf numFmtId="0" fontId="5" fillId="33" borderId="74" xfId="59" applyFont="1" applyFill="1" applyBorder="1" applyAlignment="1">
      <alignment horizontal="center" vertical="center" wrapText="1"/>
      <protection/>
    </xf>
    <xf numFmtId="0" fontId="5" fillId="33" borderId="75" xfId="59" applyFont="1" applyFill="1" applyBorder="1" applyAlignment="1">
      <alignment horizontal="center" vertical="center" wrapText="1"/>
      <protection/>
    </xf>
    <xf numFmtId="0" fontId="5" fillId="33" borderId="76" xfId="59" applyFont="1" applyFill="1" applyBorder="1" applyAlignment="1">
      <alignment horizontal="center" vertical="center" wrapText="1"/>
      <protection/>
    </xf>
    <xf numFmtId="0" fontId="5" fillId="33" borderId="77" xfId="59" applyFont="1" applyFill="1" applyBorder="1" applyAlignment="1">
      <alignment horizontal="center" vertical="center" wrapText="1"/>
      <protection/>
    </xf>
    <xf numFmtId="0" fontId="5" fillId="33" borderId="13" xfId="59" applyFont="1" applyFill="1" applyBorder="1" applyAlignment="1">
      <alignment horizontal="center" vertical="center"/>
      <protection/>
    </xf>
    <xf numFmtId="0" fontId="5" fillId="33" borderId="16" xfId="59" applyFont="1" applyFill="1" applyBorder="1" applyAlignment="1">
      <alignment horizontal="center" vertical="center"/>
      <protection/>
    </xf>
    <xf numFmtId="0" fontId="9" fillId="0" borderId="58" xfId="58" applyFont="1" applyFill="1" applyBorder="1" applyAlignment="1">
      <alignment horizontal="center" vertical="center" wrapText="1"/>
      <protection/>
    </xf>
    <xf numFmtId="0" fontId="9" fillId="0" borderId="53" xfId="58" applyFont="1" applyFill="1" applyBorder="1" applyAlignment="1">
      <alignment horizontal="center" vertical="center" wrapText="1"/>
      <protection/>
    </xf>
    <xf numFmtId="0" fontId="9" fillId="0" borderId="32" xfId="58" applyFont="1" applyFill="1" applyBorder="1" applyAlignment="1">
      <alignment horizontal="center" vertical="center" wrapText="1"/>
      <protection/>
    </xf>
    <xf numFmtId="0" fontId="9" fillId="0" borderId="78" xfId="59" applyFont="1" applyFill="1" applyBorder="1" applyAlignment="1">
      <alignment horizontal="center" vertical="center"/>
      <protection/>
    </xf>
    <xf numFmtId="0" fontId="9" fillId="0" borderId="79" xfId="59" applyFont="1" applyFill="1" applyBorder="1" applyAlignment="1">
      <alignment horizontal="center" vertical="center"/>
      <protection/>
    </xf>
    <xf numFmtId="4" fontId="9" fillId="0" borderId="57" xfId="44" applyNumberFormat="1" applyFont="1" applyFill="1" applyBorder="1" applyAlignment="1">
      <alignment horizontal="center" vertical="center"/>
    </xf>
    <xf numFmtId="4" fontId="9" fillId="0" borderId="61" xfId="44" applyNumberFormat="1" applyFont="1" applyFill="1" applyBorder="1" applyAlignment="1">
      <alignment horizontal="center" vertical="center"/>
    </xf>
    <xf numFmtId="0" fontId="5" fillId="36" borderId="37" xfId="59" applyFont="1" applyFill="1" applyBorder="1" applyAlignment="1">
      <alignment horizontal="left"/>
      <protection/>
    </xf>
    <xf numFmtId="0" fontId="5" fillId="36" borderId="80" xfId="59" applyFont="1" applyFill="1" applyBorder="1" applyAlignment="1">
      <alignment horizontal="left"/>
      <protection/>
    </xf>
    <xf numFmtId="0" fontId="102" fillId="0" borderId="0" xfId="59" applyFont="1" applyAlignment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ašvaldības saistības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 2" xfId="59"/>
    <cellStyle name="Normal 3" xfId="60"/>
    <cellStyle name="Normal 3 2" xfId="61"/>
    <cellStyle name="Normal 4" xfId="62"/>
    <cellStyle name="Normal 5 2 2" xfId="63"/>
    <cellStyle name="Normal 6 2" xfId="64"/>
    <cellStyle name="Normal 6 2 3" xfId="65"/>
    <cellStyle name="Normal 7" xfId="66"/>
    <cellStyle name="Normal_Pamatformas 2" xfId="67"/>
    <cellStyle name="Note" xfId="68"/>
    <cellStyle name="Output" xfId="69"/>
    <cellStyle name="Percent" xfId="70"/>
    <cellStyle name="Percent 2 3" xfId="71"/>
    <cellStyle name="Percent 4 2" xfId="72"/>
    <cellStyle name="Percent 6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9.8515625" style="1" customWidth="1"/>
    <col min="2" max="2" width="41.57421875" style="2" customWidth="1"/>
    <col min="3" max="3" width="12.57421875" style="3" customWidth="1"/>
    <col min="4" max="4" width="11.7109375" style="3" customWidth="1"/>
    <col min="5" max="5" width="12.57421875" style="3" customWidth="1"/>
    <col min="6" max="6" width="9.140625" style="4" customWidth="1"/>
    <col min="7" max="7" width="10.140625" style="4" bestFit="1" customWidth="1"/>
    <col min="8" max="16384" width="9.140625" style="4" customWidth="1"/>
  </cols>
  <sheetData>
    <row r="1" spans="4:7" ht="15">
      <c r="D1" s="423" t="s">
        <v>1</v>
      </c>
      <c r="E1" s="423"/>
      <c r="G1" s="79"/>
    </row>
    <row r="2" spans="2:5" ht="15">
      <c r="B2" s="423" t="s">
        <v>986</v>
      </c>
      <c r="C2" s="423"/>
      <c r="D2" s="423"/>
      <c r="E2" s="423"/>
    </row>
    <row r="3" spans="3:5" ht="15">
      <c r="C3" s="424" t="s">
        <v>987</v>
      </c>
      <c r="D3" s="424"/>
      <c r="E3" s="424"/>
    </row>
    <row r="5" spans="1:5" ht="18.75">
      <c r="A5" s="425" t="s">
        <v>677</v>
      </c>
      <c r="B5" s="425"/>
      <c r="C5" s="425"/>
      <c r="D5" s="425"/>
      <c r="E5" s="425"/>
    </row>
    <row r="6" spans="1:5" ht="15">
      <c r="A6" s="426" t="s">
        <v>2</v>
      </c>
      <c r="B6" s="426"/>
      <c r="C6" s="426"/>
      <c r="D6" s="426"/>
      <c r="E6" s="426"/>
    </row>
    <row r="7" ht="15">
      <c r="E7" s="5" t="s">
        <v>3</v>
      </c>
    </row>
    <row r="8" spans="1:5" ht="38.25">
      <c r="A8" s="287" t="s">
        <v>4</v>
      </c>
      <c r="B8" s="287" t="s">
        <v>5</v>
      </c>
      <c r="C8" s="287" t="s">
        <v>678</v>
      </c>
      <c r="D8" s="287" t="s">
        <v>6</v>
      </c>
      <c r="E8" s="358" t="s">
        <v>794</v>
      </c>
    </row>
    <row r="9" spans="1:5" ht="21.75" customHeight="1">
      <c r="A9" s="6"/>
      <c r="B9" s="7" t="s">
        <v>7</v>
      </c>
      <c r="C9" s="8">
        <f>C10+C20+C49+C59</f>
        <v>88344260</v>
      </c>
      <c r="D9" s="8">
        <f>D10+D20+D49+D59</f>
        <v>-99207</v>
      </c>
      <c r="E9" s="8">
        <f>E10+E20+E49+E59</f>
        <v>88245053</v>
      </c>
    </row>
    <row r="10" spans="1:5" ht="15">
      <c r="A10" s="9"/>
      <c r="B10" s="10" t="s">
        <v>8</v>
      </c>
      <c r="C10" s="11">
        <f>C11+C13+C17</f>
        <v>43604982</v>
      </c>
      <c r="D10" s="11">
        <f>D11+D13+D17</f>
        <v>0</v>
      </c>
      <c r="E10" s="11">
        <f>E11+E13+E17</f>
        <v>43604982</v>
      </c>
    </row>
    <row r="11" spans="1:5" ht="17.25" customHeight="1">
      <c r="A11" s="12" t="s">
        <v>9</v>
      </c>
      <c r="B11" s="13" t="s">
        <v>10</v>
      </c>
      <c r="C11" s="14">
        <f>C12</f>
        <v>39844982</v>
      </c>
      <c r="D11" s="14">
        <f>D12</f>
        <v>0</v>
      </c>
      <c r="E11" s="14">
        <f>E12</f>
        <v>39844982</v>
      </c>
    </row>
    <row r="12" spans="1:5" ht="38.25">
      <c r="A12" s="18" t="s">
        <v>12</v>
      </c>
      <c r="B12" s="19" t="s">
        <v>587</v>
      </c>
      <c r="C12" s="20">
        <f>39194982+650000</f>
        <v>39844982</v>
      </c>
      <c r="D12" s="17">
        <v>0</v>
      </c>
      <c r="E12" s="20">
        <f>C12+D12</f>
        <v>39844982</v>
      </c>
    </row>
    <row r="13" spans="1:5" ht="15">
      <c r="A13" s="12" t="s">
        <v>13</v>
      </c>
      <c r="B13" s="13" t="s">
        <v>14</v>
      </c>
      <c r="C13" s="14">
        <f>C14+C15+C16</f>
        <v>3720000</v>
      </c>
      <c r="D13" s="14">
        <f>D14+D15+D16</f>
        <v>0</v>
      </c>
      <c r="E13" s="14">
        <f>E14+E15+E16</f>
        <v>3720000</v>
      </c>
    </row>
    <row r="14" spans="1:5" ht="15">
      <c r="A14" s="18" t="s">
        <v>15</v>
      </c>
      <c r="B14" s="19" t="s">
        <v>16</v>
      </c>
      <c r="C14" s="20">
        <v>1433561</v>
      </c>
      <c r="D14" s="20">
        <v>0</v>
      </c>
      <c r="E14" s="20">
        <f>C14+D14</f>
        <v>1433561</v>
      </c>
    </row>
    <row r="15" spans="1:5" ht="15">
      <c r="A15" s="18" t="s">
        <v>17</v>
      </c>
      <c r="B15" s="19" t="s">
        <v>18</v>
      </c>
      <c r="C15" s="20">
        <v>1435393</v>
      </c>
      <c r="D15" s="20">
        <v>0</v>
      </c>
      <c r="E15" s="20">
        <f>C15+D15</f>
        <v>1435393</v>
      </c>
    </row>
    <row r="16" spans="1:5" ht="15">
      <c r="A16" s="18" t="s">
        <v>19</v>
      </c>
      <c r="B16" s="19" t="s">
        <v>20</v>
      </c>
      <c r="C16" s="20">
        <v>851046</v>
      </c>
      <c r="D16" s="20">
        <v>0</v>
      </c>
      <c r="E16" s="20">
        <f>C16+D16</f>
        <v>851046</v>
      </c>
    </row>
    <row r="17" spans="1:5" ht="15">
      <c r="A17" s="12" t="s">
        <v>166</v>
      </c>
      <c r="B17" s="13" t="s">
        <v>588</v>
      </c>
      <c r="C17" s="14">
        <f>C18+C19</f>
        <v>40000</v>
      </c>
      <c r="D17" s="14">
        <f>D18+D19</f>
        <v>0</v>
      </c>
      <c r="E17" s="14">
        <f>E18+E19</f>
        <v>40000</v>
      </c>
    </row>
    <row r="18" spans="1:5" ht="15">
      <c r="A18" s="18" t="s">
        <v>21</v>
      </c>
      <c r="B18" s="19" t="s">
        <v>22</v>
      </c>
      <c r="C18" s="20">
        <f>10000+10000</f>
        <v>20000</v>
      </c>
      <c r="D18" s="20">
        <v>0</v>
      </c>
      <c r="E18" s="20">
        <f>C18+D18</f>
        <v>20000</v>
      </c>
    </row>
    <row r="19" spans="1:5" ht="15">
      <c r="A19" s="18" t="s">
        <v>23</v>
      </c>
      <c r="B19" s="22" t="s">
        <v>24</v>
      </c>
      <c r="C19" s="20">
        <v>20000</v>
      </c>
      <c r="D19" s="20">
        <v>0</v>
      </c>
      <c r="E19" s="20">
        <f>C19+D19</f>
        <v>20000</v>
      </c>
    </row>
    <row r="20" spans="1:7" ht="15">
      <c r="A20" s="9"/>
      <c r="B20" s="10" t="s">
        <v>25</v>
      </c>
      <c r="C20" s="11">
        <f>C21+C34+C38+C45</f>
        <v>510203</v>
      </c>
      <c r="D20" s="11">
        <f>D21+D34+D38+D45</f>
        <v>1725</v>
      </c>
      <c r="E20" s="11">
        <f>E21+E34+E38+E45</f>
        <v>511928</v>
      </c>
      <c r="G20" s="80"/>
    </row>
    <row r="21" spans="1:7" ht="15">
      <c r="A21" s="12" t="s">
        <v>26</v>
      </c>
      <c r="B21" s="13" t="s">
        <v>27</v>
      </c>
      <c r="C21" s="14">
        <f>C22+C26</f>
        <v>67700</v>
      </c>
      <c r="D21" s="14">
        <f>D22+D26</f>
        <v>0</v>
      </c>
      <c r="E21" s="14">
        <f>E22+E26</f>
        <v>67700</v>
      </c>
      <c r="G21" s="80"/>
    </row>
    <row r="22" spans="1:5" ht="15">
      <c r="A22" s="21" t="s">
        <v>28</v>
      </c>
      <c r="B22" s="13" t="s">
        <v>29</v>
      </c>
      <c r="C22" s="14">
        <f>SUM(C23:C25)</f>
        <v>15000</v>
      </c>
      <c r="D22" s="14">
        <f>SUM(D23:D25)</f>
        <v>0</v>
      </c>
      <c r="E22" s="14">
        <f>SUM(E23:E25)</f>
        <v>15000</v>
      </c>
    </row>
    <row r="23" spans="1:5" ht="38.25">
      <c r="A23" s="18" t="s">
        <v>30</v>
      </c>
      <c r="B23" s="19" t="s">
        <v>31</v>
      </c>
      <c r="C23" s="20">
        <v>3000</v>
      </c>
      <c r="D23" s="20">
        <v>0</v>
      </c>
      <c r="E23" s="20">
        <f>C23+D23</f>
        <v>3000</v>
      </c>
    </row>
    <row r="24" spans="1:5" ht="63.75">
      <c r="A24" s="18" t="s">
        <v>32</v>
      </c>
      <c r="B24" s="19" t="s">
        <v>33</v>
      </c>
      <c r="C24" s="20">
        <v>9000</v>
      </c>
      <c r="D24" s="20">
        <v>0</v>
      </c>
      <c r="E24" s="20">
        <f aca="true" t="shared" si="0" ref="E24:E33">C24+D24</f>
        <v>9000</v>
      </c>
    </row>
    <row r="25" spans="1:5" ht="25.5">
      <c r="A25" s="18" t="s">
        <v>34</v>
      </c>
      <c r="B25" s="19" t="s">
        <v>35</v>
      </c>
      <c r="C25" s="20">
        <v>3000</v>
      </c>
      <c r="D25" s="20">
        <v>0</v>
      </c>
      <c r="E25" s="20">
        <f t="shared" si="0"/>
        <v>3000</v>
      </c>
    </row>
    <row r="26" spans="1:5" ht="15">
      <c r="A26" s="21" t="s">
        <v>36</v>
      </c>
      <c r="B26" s="13" t="s">
        <v>37</v>
      </c>
      <c r="C26" s="14">
        <f>SUM(C27:C33)</f>
        <v>52700</v>
      </c>
      <c r="D26" s="14">
        <f>SUM(D27:D33)</f>
        <v>0</v>
      </c>
      <c r="E26" s="14">
        <f>SUM(E27:E33)</f>
        <v>52700</v>
      </c>
    </row>
    <row r="27" spans="1:5" ht="39">
      <c r="A27" s="18" t="s">
        <v>38</v>
      </c>
      <c r="B27" s="22" t="s">
        <v>39</v>
      </c>
      <c r="C27" s="20">
        <f>7500+3600</f>
        <v>11100</v>
      </c>
      <c r="D27" s="17">
        <v>0</v>
      </c>
      <c r="E27" s="20">
        <f t="shared" si="0"/>
        <v>11100</v>
      </c>
    </row>
    <row r="28" spans="1:5" ht="26.25">
      <c r="A28" s="18" t="s">
        <v>40</v>
      </c>
      <c r="B28" s="22" t="s">
        <v>41</v>
      </c>
      <c r="C28" s="20">
        <v>500</v>
      </c>
      <c r="D28" s="17">
        <v>0</v>
      </c>
      <c r="E28" s="20">
        <f t="shared" si="0"/>
        <v>500</v>
      </c>
    </row>
    <row r="29" spans="1:5" ht="26.25">
      <c r="A29" s="18" t="s">
        <v>42</v>
      </c>
      <c r="B29" s="22" t="s">
        <v>43</v>
      </c>
      <c r="C29" s="20">
        <f>3000+400</f>
        <v>3400</v>
      </c>
      <c r="D29" s="17">
        <v>0</v>
      </c>
      <c r="E29" s="20">
        <f t="shared" si="0"/>
        <v>3400</v>
      </c>
    </row>
    <row r="30" spans="1:5" ht="15">
      <c r="A30" s="18" t="s">
        <v>44</v>
      </c>
      <c r="B30" s="22" t="s">
        <v>45</v>
      </c>
      <c r="C30" s="20">
        <f>4400-700</f>
        <v>3700</v>
      </c>
      <c r="D30" s="17">
        <v>0</v>
      </c>
      <c r="E30" s="20">
        <f t="shared" si="0"/>
        <v>3700</v>
      </c>
    </row>
    <row r="31" spans="1:5" ht="28.5" customHeight="1">
      <c r="A31" s="18" t="s">
        <v>46</v>
      </c>
      <c r="B31" s="22" t="s">
        <v>47</v>
      </c>
      <c r="C31" s="20">
        <v>10000</v>
      </c>
      <c r="D31" s="20">
        <v>0</v>
      </c>
      <c r="E31" s="20">
        <f t="shared" si="0"/>
        <v>10000</v>
      </c>
    </row>
    <row r="32" spans="1:5" ht="26.25">
      <c r="A32" s="18" t="s">
        <v>48</v>
      </c>
      <c r="B32" s="22" t="s">
        <v>49</v>
      </c>
      <c r="C32" s="20">
        <v>20000</v>
      </c>
      <c r="D32" s="20">
        <v>0</v>
      </c>
      <c r="E32" s="20">
        <f t="shared" si="0"/>
        <v>20000</v>
      </c>
    </row>
    <row r="33" spans="1:5" ht="15">
      <c r="A33" s="18" t="s">
        <v>50</v>
      </c>
      <c r="B33" s="22" t="s">
        <v>51</v>
      </c>
      <c r="C33" s="20">
        <v>4000</v>
      </c>
      <c r="D33" s="20">
        <v>0</v>
      </c>
      <c r="E33" s="20">
        <f t="shared" si="0"/>
        <v>4000</v>
      </c>
    </row>
    <row r="34" spans="1:5" ht="15">
      <c r="A34" s="12" t="s">
        <v>52</v>
      </c>
      <c r="B34" s="13" t="s">
        <v>53</v>
      </c>
      <c r="C34" s="14">
        <f>C35</f>
        <v>138000</v>
      </c>
      <c r="D34" s="14">
        <f>D35</f>
        <v>0</v>
      </c>
      <c r="E34" s="14">
        <f>E35</f>
        <v>138000</v>
      </c>
    </row>
    <row r="35" spans="1:5" ht="15">
      <c r="A35" s="21" t="s">
        <v>54</v>
      </c>
      <c r="B35" s="13" t="s">
        <v>55</v>
      </c>
      <c r="C35" s="14">
        <f>SUM(C36:C37)</f>
        <v>138000</v>
      </c>
      <c r="D35" s="14">
        <f>SUM(D36:D37)</f>
        <v>0</v>
      </c>
      <c r="E35" s="14">
        <f>SUM(E36:E37)</f>
        <v>138000</v>
      </c>
    </row>
    <row r="36" spans="1:5" ht="15">
      <c r="A36" s="18" t="s">
        <v>56</v>
      </c>
      <c r="B36" s="19" t="s">
        <v>57</v>
      </c>
      <c r="C36" s="20">
        <v>65000</v>
      </c>
      <c r="D36" s="20">
        <v>0</v>
      </c>
      <c r="E36" s="20">
        <f>C36+D36</f>
        <v>65000</v>
      </c>
    </row>
    <row r="37" spans="1:5" ht="24.75" customHeight="1">
      <c r="A37" s="18" t="s">
        <v>58</v>
      </c>
      <c r="B37" s="19" t="s">
        <v>59</v>
      </c>
      <c r="C37" s="20">
        <v>73000</v>
      </c>
      <c r="D37" s="20">
        <v>0</v>
      </c>
      <c r="E37" s="20">
        <f>C37+D37</f>
        <v>73000</v>
      </c>
    </row>
    <row r="38" spans="1:5" ht="15">
      <c r="A38" s="23" t="s">
        <v>60</v>
      </c>
      <c r="B38" s="24" t="s">
        <v>61</v>
      </c>
      <c r="C38" s="25">
        <f>C39+C41</f>
        <v>3054</v>
      </c>
      <c r="D38" s="25">
        <f>D39+D41</f>
        <v>1725</v>
      </c>
      <c r="E38" s="25">
        <f>E39+E41</f>
        <v>4779</v>
      </c>
    </row>
    <row r="39" spans="1:5" ht="38.25">
      <c r="A39" s="26" t="s">
        <v>62</v>
      </c>
      <c r="B39" s="24" t="s">
        <v>63</v>
      </c>
      <c r="C39" s="25">
        <f>C40</f>
        <v>0</v>
      </c>
      <c r="D39" s="25">
        <f>D40</f>
        <v>1725</v>
      </c>
      <c r="E39" s="25">
        <f>E40</f>
        <v>1725</v>
      </c>
    </row>
    <row r="40" spans="1:5" ht="59.25" customHeight="1">
      <c r="A40" s="15" t="s">
        <v>801</v>
      </c>
      <c r="B40" s="16" t="s">
        <v>802</v>
      </c>
      <c r="C40" s="17">
        <v>0</v>
      </c>
      <c r="D40" s="17">
        <v>1725</v>
      </c>
      <c r="E40" s="17">
        <f>C40+D40</f>
        <v>1725</v>
      </c>
    </row>
    <row r="41" spans="1:5" ht="15">
      <c r="A41" s="26" t="s">
        <v>64</v>
      </c>
      <c r="B41" s="24" t="s">
        <v>65</v>
      </c>
      <c r="C41" s="25">
        <f>C44+C42+C43</f>
        <v>3054</v>
      </c>
      <c r="D41" s="25">
        <f>D44+D42+D43</f>
        <v>0</v>
      </c>
      <c r="E41" s="25">
        <f>E44+E42+E43</f>
        <v>3054</v>
      </c>
    </row>
    <row r="42" spans="1:5" ht="15.75" customHeight="1">
      <c r="A42" s="15" t="s">
        <v>66</v>
      </c>
      <c r="B42" s="16" t="s">
        <v>67</v>
      </c>
      <c r="C42" s="17">
        <f>223+2831</f>
        <v>3054</v>
      </c>
      <c r="D42" s="17">
        <v>0</v>
      </c>
      <c r="E42" s="17">
        <f>C42+D42</f>
        <v>3054</v>
      </c>
    </row>
    <row r="43" spans="1:5" ht="25.5" hidden="1">
      <c r="A43" s="27" t="s">
        <v>68</v>
      </c>
      <c r="B43" s="28" t="s">
        <v>69</v>
      </c>
      <c r="C43" s="29"/>
      <c r="D43" s="29">
        <v>0</v>
      </c>
      <c r="E43" s="29">
        <f>C43+D43</f>
        <v>0</v>
      </c>
    </row>
    <row r="44" spans="1:5" ht="31.5" customHeight="1" hidden="1">
      <c r="A44" s="27" t="s">
        <v>70</v>
      </c>
      <c r="B44" s="28" t="s">
        <v>71</v>
      </c>
      <c r="C44" s="29"/>
      <c r="D44" s="29">
        <v>0</v>
      </c>
      <c r="E44" s="29">
        <f>C44+D44</f>
        <v>0</v>
      </c>
    </row>
    <row r="45" spans="1:5" ht="42.75" customHeight="1">
      <c r="A45" s="12" t="s">
        <v>72</v>
      </c>
      <c r="B45" s="13" t="s">
        <v>73</v>
      </c>
      <c r="C45" s="14">
        <f>SUM(C46:C48)</f>
        <v>301449</v>
      </c>
      <c r="D45" s="14">
        <f>SUM(D46:D48)</f>
        <v>0</v>
      </c>
      <c r="E45" s="14">
        <f>SUM(E46:E48)</f>
        <v>301449</v>
      </c>
    </row>
    <row r="46" spans="1:5" ht="15" customHeight="1">
      <c r="A46" s="18" t="s">
        <v>74</v>
      </c>
      <c r="B46" s="19" t="s">
        <v>75</v>
      </c>
      <c r="C46" s="20">
        <v>112003</v>
      </c>
      <c r="D46" s="20">
        <v>0</v>
      </c>
      <c r="E46" s="20">
        <f>C46+D46</f>
        <v>112003</v>
      </c>
    </row>
    <row r="47" spans="1:5" ht="15">
      <c r="A47" s="18" t="s">
        <v>76</v>
      </c>
      <c r="B47" s="19" t="s">
        <v>77</v>
      </c>
      <c r="C47" s="20">
        <f>9446+180000</f>
        <v>189446</v>
      </c>
      <c r="D47" s="20">
        <v>0</v>
      </c>
      <c r="E47" s="20">
        <f>C47+D47</f>
        <v>189446</v>
      </c>
    </row>
    <row r="48" spans="1:5" ht="30" customHeight="1" hidden="1">
      <c r="A48" s="27" t="s">
        <v>78</v>
      </c>
      <c r="B48" s="28" t="s">
        <v>79</v>
      </c>
      <c r="C48" s="29"/>
      <c r="D48" s="29">
        <v>0</v>
      </c>
      <c r="E48" s="29">
        <f>C48+D48</f>
        <v>0</v>
      </c>
    </row>
    <row r="49" spans="1:5" ht="15">
      <c r="A49" s="30"/>
      <c r="B49" s="10" t="s">
        <v>80</v>
      </c>
      <c r="C49" s="31">
        <f>C52+C57+C50</f>
        <v>42689136</v>
      </c>
      <c r="D49" s="31">
        <f>D52+D57+D50</f>
        <v>-113435</v>
      </c>
      <c r="E49" s="31">
        <f>E52+E57+E50</f>
        <v>42575701</v>
      </c>
    </row>
    <row r="50" spans="1:5" s="81" customFormat="1" ht="26.25" customHeight="1">
      <c r="A50" s="32" t="s">
        <v>81</v>
      </c>
      <c r="B50" s="33" t="s">
        <v>82</v>
      </c>
      <c r="C50" s="34">
        <f>C51</f>
        <v>482512</v>
      </c>
      <c r="D50" s="25">
        <f>D51</f>
        <v>0</v>
      </c>
      <c r="E50" s="25">
        <f>E51</f>
        <v>482512</v>
      </c>
    </row>
    <row r="51" spans="1:5" s="81" customFormat="1" ht="39" customHeight="1">
      <c r="A51" s="35" t="s">
        <v>83</v>
      </c>
      <c r="B51" s="36" t="s">
        <v>84</v>
      </c>
      <c r="C51" s="37">
        <f>224529+10300+90000+157683</f>
        <v>482512</v>
      </c>
      <c r="D51" s="17">
        <v>0</v>
      </c>
      <c r="E51" s="17">
        <f>C51+D51</f>
        <v>482512</v>
      </c>
    </row>
    <row r="52" spans="1:5" ht="15">
      <c r="A52" s="12" t="s">
        <v>85</v>
      </c>
      <c r="B52" s="13" t="s">
        <v>86</v>
      </c>
      <c r="C52" s="14">
        <f>C53</f>
        <v>41546855</v>
      </c>
      <c r="D52" s="14">
        <f>D53</f>
        <v>-181576</v>
      </c>
      <c r="E52" s="14">
        <f>E53</f>
        <v>41365279</v>
      </c>
    </row>
    <row r="53" spans="1:5" ht="15">
      <c r="A53" s="21" t="s">
        <v>87</v>
      </c>
      <c r="B53" s="13" t="s">
        <v>88</v>
      </c>
      <c r="C53" s="14">
        <f>SUM(C54:C56)</f>
        <v>41546855</v>
      </c>
      <c r="D53" s="25">
        <f>SUM(D54:D56)</f>
        <v>-181576</v>
      </c>
      <c r="E53" s="14">
        <f>SUM(E54:E56)</f>
        <v>41365279</v>
      </c>
    </row>
    <row r="54" spans="1:5" ht="15">
      <c r="A54" s="18" t="s">
        <v>89</v>
      </c>
      <c r="B54" s="19" t="s">
        <v>90</v>
      </c>
      <c r="C54" s="20">
        <f>18096917-1540176+2435169+6397662</f>
        <v>25389572</v>
      </c>
      <c r="D54" s="17">
        <v>-182328</v>
      </c>
      <c r="E54" s="20">
        <f>C54+D54</f>
        <v>25207244</v>
      </c>
    </row>
    <row r="55" spans="1:5" ht="65.25" customHeight="1">
      <c r="A55" s="18" t="s">
        <v>91</v>
      </c>
      <c r="B55" s="19" t="s">
        <v>92</v>
      </c>
      <c r="C55" s="20">
        <f>6731325+517454-84648+365041</f>
        <v>7529172</v>
      </c>
      <c r="D55" s="17">
        <v>752</v>
      </c>
      <c r="E55" s="20">
        <f>C55+D55</f>
        <v>7529924</v>
      </c>
    </row>
    <row r="56" spans="1:5" ht="27.75" customHeight="1">
      <c r="A56" s="18" t="s">
        <v>93</v>
      </c>
      <c r="B56" s="19" t="s">
        <v>94</v>
      </c>
      <c r="C56" s="20">
        <f>5667100+2961011</f>
        <v>8628111</v>
      </c>
      <c r="D56" s="17">
        <v>0</v>
      </c>
      <c r="E56" s="20">
        <f>C56+D56</f>
        <v>8628111</v>
      </c>
    </row>
    <row r="57" spans="1:5" ht="15">
      <c r="A57" s="12" t="s">
        <v>95</v>
      </c>
      <c r="B57" s="13" t="s">
        <v>96</v>
      </c>
      <c r="C57" s="14">
        <f>C58</f>
        <v>659769</v>
      </c>
      <c r="D57" s="25">
        <f>D58</f>
        <v>68141</v>
      </c>
      <c r="E57" s="14">
        <f>E58</f>
        <v>727910</v>
      </c>
    </row>
    <row r="58" spans="1:5" ht="25.5">
      <c r="A58" s="18" t="s">
        <v>97</v>
      </c>
      <c r="B58" s="19" t="s">
        <v>98</v>
      </c>
      <c r="C58" s="20">
        <f>657865+1904</f>
        <v>659769</v>
      </c>
      <c r="D58" s="17">
        <v>68141</v>
      </c>
      <c r="E58" s="20">
        <f>C58+D58</f>
        <v>727910</v>
      </c>
    </row>
    <row r="59" spans="1:5" ht="28.5">
      <c r="A59" s="9"/>
      <c r="B59" s="10" t="s">
        <v>99</v>
      </c>
      <c r="C59" s="11">
        <f>C60</f>
        <v>1539939</v>
      </c>
      <c r="D59" s="11">
        <f>D60</f>
        <v>12503</v>
      </c>
      <c r="E59" s="11">
        <f>E60</f>
        <v>1552442</v>
      </c>
    </row>
    <row r="60" spans="1:5" ht="15">
      <c r="A60" s="12" t="s">
        <v>100</v>
      </c>
      <c r="B60" s="13" t="s">
        <v>101</v>
      </c>
      <c r="C60" s="14">
        <f>C61+C66+C84</f>
        <v>1539939</v>
      </c>
      <c r="D60" s="14">
        <f>D61+D66+D84</f>
        <v>12503</v>
      </c>
      <c r="E60" s="14">
        <f>E61+E66+E84</f>
        <v>1552442</v>
      </c>
    </row>
    <row r="61" spans="1:5" ht="15" customHeight="1">
      <c r="A61" s="26" t="s">
        <v>102</v>
      </c>
      <c r="B61" s="24" t="s">
        <v>103</v>
      </c>
      <c r="C61" s="25">
        <f>C62+C65+C63+C64</f>
        <v>104917</v>
      </c>
      <c r="D61" s="25">
        <f>D62+D65+D63+D64</f>
        <v>2500</v>
      </c>
      <c r="E61" s="25">
        <f>E62+E65+E63+E64</f>
        <v>107417</v>
      </c>
    </row>
    <row r="62" spans="1:5" ht="25.5" hidden="1">
      <c r="A62" s="27" t="s">
        <v>104</v>
      </c>
      <c r="B62" s="28" t="s">
        <v>589</v>
      </c>
      <c r="C62" s="29"/>
      <c r="D62" s="29">
        <v>0</v>
      </c>
      <c r="E62" s="29">
        <f>C62+D62</f>
        <v>0</v>
      </c>
    </row>
    <row r="63" spans="1:5" ht="64.5">
      <c r="A63" s="38" t="s">
        <v>105</v>
      </c>
      <c r="B63" s="321" t="s">
        <v>590</v>
      </c>
      <c r="C63" s="17">
        <v>500</v>
      </c>
      <c r="D63" s="17">
        <v>0</v>
      </c>
      <c r="E63" s="17">
        <f>C63+D63</f>
        <v>500</v>
      </c>
    </row>
    <row r="64" spans="1:5" ht="77.25" hidden="1">
      <c r="A64" s="87" t="s">
        <v>664</v>
      </c>
      <c r="B64" s="88" t="s">
        <v>665</v>
      </c>
      <c r="C64" s="29"/>
      <c r="D64" s="29">
        <v>0</v>
      </c>
      <c r="E64" s="29">
        <f>C64+D64</f>
        <v>0</v>
      </c>
    </row>
    <row r="65" spans="1:5" ht="38.25">
      <c r="A65" s="15" t="s">
        <v>106</v>
      </c>
      <c r="B65" s="16" t="s">
        <v>107</v>
      </c>
      <c r="C65" s="17">
        <f>37049+49161+18207</f>
        <v>104417</v>
      </c>
      <c r="D65" s="17">
        <v>2500</v>
      </c>
      <c r="E65" s="17">
        <f>C65+D65</f>
        <v>106917</v>
      </c>
    </row>
    <row r="66" spans="1:5" ht="25.5">
      <c r="A66" s="21" t="s">
        <v>108</v>
      </c>
      <c r="B66" s="13" t="s">
        <v>109</v>
      </c>
      <c r="C66" s="25">
        <f>C67+C68+C71+C73+C78</f>
        <v>1342766</v>
      </c>
      <c r="D66" s="25">
        <f>D67+D68+D71+D73+D78</f>
        <v>7700</v>
      </c>
      <c r="E66" s="25">
        <f>E67+E68+E71+E73+E78</f>
        <v>1350466</v>
      </c>
    </row>
    <row r="67" spans="1:5" ht="56.25" customHeight="1" hidden="1">
      <c r="A67" s="27" t="s">
        <v>110</v>
      </c>
      <c r="B67" s="28" t="s">
        <v>111</v>
      </c>
      <c r="C67" s="29"/>
      <c r="D67" s="29">
        <v>0</v>
      </c>
      <c r="E67" s="29">
        <f>C67+D67</f>
        <v>0</v>
      </c>
    </row>
    <row r="68" spans="1:5" ht="15">
      <c r="A68" s="21" t="s">
        <v>112</v>
      </c>
      <c r="B68" s="39" t="s">
        <v>113</v>
      </c>
      <c r="C68" s="14">
        <f>SUM(C69:C70)</f>
        <v>301264</v>
      </c>
      <c r="D68" s="14">
        <f>SUM(D69:D70)</f>
        <v>0</v>
      </c>
      <c r="E68" s="14">
        <f>SUM(E69:E70)</f>
        <v>301264</v>
      </c>
    </row>
    <row r="69" spans="1:5" ht="15">
      <c r="A69" s="18" t="s">
        <v>114</v>
      </c>
      <c r="B69" s="19" t="s">
        <v>115</v>
      </c>
      <c r="C69" s="20">
        <f>111180-183</f>
        <v>110997</v>
      </c>
      <c r="D69" s="17">
        <v>0</v>
      </c>
      <c r="E69" s="20">
        <f>C69+D69</f>
        <v>110997</v>
      </c>
    </row>
    <row r="70" spans="1:5" ht="15">
      <c r="A70" s="18" t="s">
        <v>116</v>
      </c>
      <c r="B70" s="19" t="s">
        <v>117</v>
      </c>
      <c r="C70" s="20">
        <f>136887+24500+21280+7600</f>
        <v>190267</v>
      </c>
      <c r="D70" s="17">
        <v>0</v>
      </c>
      <c r="E70" s="20">
        <f>C70+D70</f>
        <v>190267</v>
      </c>
    </row>
    <row r="71" spans="1:5" ht="25.5">
      <c r="A71" s="21" t="s">
        <v>118</v>
      </c>
      <c r="B71" s="39" t="s">
        <v>119</v>
      </c>
      <c r="C71" s="14">
        <f>C72</f>
        <v>2193</v>
      </c>
      <c r="D71" s="14">
        <f>D72</f>
        <v>0</v>
      </c>
      <c r="E71" s="14">
        <f>E72</f>
        <v>2193</v>
      </c>
    </row>
    <row r="72" spans="1:5" ht="25.5">
      <c r="A72" s="18" t="s">
        <v>120</v>
      </c>
      <c r="B72" s="19" t="s">
        <v>121</v>
      </c>
      <c r="C72" s="20">
        <f>470+1723</f>
        <v>2193</v>
      </c>
      <c r="D72" s="17">
        <v>0</v>
      </c>
      <c r="E72" s="20">
        <f aca="true" t="shared" si="1" ref="E72:E83">C72+D72</f>
        <v>2193</v>
      </c>
    </row>
    <row r="73" spans="1:5" ht="15">
      <c r="A73" s="21" t="s">
        <v>122</v>
      </c>
      <c r="B73" s="39" t="s">
        <v>123</v>
      </c>
      <c r="C73" s="14">
        <f>SUM(C74:C77)</f>
        <v>578823</v>
      </c>
      <c r="D73" s="14">
        <f>SUM(D74:D77)</f>
        <v>0</v>
      </c>
      <c r="E73" s="14">
        <f>SUM(E74:E77)</f>
        <v>578823</v>
      </c>
    </row>
    <row r="74" spans="1:5" ht="25.5">
      <c r="A74" s="18" t="s">
        <v>672</v>
      </c>
      <c r="B74" s="19" t="s">
        <v>591</v>
      </c>
      <c r="C74" s="20">
        <f>317254+54406+19520</f>
        <v>391180</v>
      </c>
      <c r="D74" s="17">
        <v>0</v>
      </c>
      <c r="E74" s="20">
        <f>C74+D74</f>
        <v>391180</v>
      </c>
    </row>
    <row r="75" spans="1:5" ht="15">
      <c r="A75" s="18" t="s">
        <v>124</v>
      </c>
      <c r="B75" s="19" t="s">
        <v>125</v>
      </c>
      <c r="C75" s="20">
        <f>44120+183</f>
        <v>44303</v>
      </c>
      <c r="D75" s="17">
        <v>0</v>
      </c>
      <c r="E75" s="20">
        <f>C75+D75</f>
        <v>44303</v>
      </c>
    </row>
    <row r="76" spans="1:5" ht="15">
      <c r="A76" s="18" t="s">
        <v>126</v>
      </c>
      <c r="B76" s="19" t="s">
        <v>127</v>
      </c>
      <c r="C76" s="20">
        <v>60008</v>
      </c>
      <c r="D76" s="17">
        <v>0</v>
      </c>
      <c r="E76" s="20">
        <f>C76+D76</f>
        <v>60008</v>
      </c>
    </row>
    <row r="77" spans="1:5" ht="15">
      <c r="A77" s="18" t="s">
        <v>128</v>
      </c>
      <c r="B77" s="19" t="s">
        <v>129</v>
      </c>
      <c r="C77" s="20">
        <f>71332+12000</f>
        <v>83332</v>
      </c>
      <c r="D77" s="17">
        <v>0</v>
      </c>
      <c r="E77" s="20">
        <f>C77+D77</f>
        <v>83332</v>
      </c>
    </row>
    <row r="78" spans="1:5" ht="25.5">
      <c r="A78" s="21" t="s">
        <v>130</v>
      </c>
      <c r="B78" s="39" t="s">
        <v>131</v>
      </c>
      <c r="C78" s="14">
        <f>SUM(C79:C83)</f>
        <v>460486</v>
      </c>
      <c r="D78" s="14">
        <f>SUM(D79:D83)</f>
        <v>7700</v>
      </c>
      <c r="E78" s="14">
        <f>SUM(E79:E83)</f>
        <v>468186</v>
      </c>
    </row>
    <row r="79" spans="1:5" ht="25.5">
      <c r="A79" s="18" t="s">
        <v>132</v>
      </c>
      <c r="B79" s="19" t="s">
        <v>133</v>
      </c>
      <c r="C79" s="20">
        <v>17055</v>
      </c>
      <c r="D79" s="17">
        <v>0</v>
      </c>
      <c r="E79" s="20">
        <f t="shared" si="1"/>
        <v>17055</v>
      </c>
    </row>
    <row r="80" spans="1:5" ht="15">
      <c r="A80" s="18" t="s">
        <v>134</v>
      </c>
      <c r="B80" s="19" t="s">
        <v>135</v>
      </c>
      <c r="C80" s="20">
        <f>118900+41915</f>
        <v>160815</v>
      </c>
      <c r="D80" s="17">
        <v>0</v>
      </c>
      <c r="E80" s="20">
        <f t="shared" si="1"/>
        <v>160815</v>
      </c>
    </row>
    <row r="81" spans="1:5" ht="15">
      <c r="A81" s="15" t="s">
        <v>136</v>
      </c>
      <c r="B81" s="16" t="s">
        <v>137</v>
      </c>
      <c r="C81" s="17">
        <f>110+30000+4500</f>
        <v>34610</v>
      </c>
      <c r="D81" s="17">
        <v>0</v>
      </c>
      <c r="E81" s="17">
        <f t="shared" si="1"/>
        <v>34610</v>
      </c>
    </row>
    <row r="82" spans="1:5" ht="15">
      <c r="A82" s="18" t="s">
        <v>138</v>
      </c>
      <c r="B82" s="19" t="s">
        <v>139</v>
      </c>
      <c r="C82" s="20">
        <f>5188+20783+10628</f>
        <v>36599</v>
      </c>
      <c r="D82" s="17">
        <v>0</v>
      </c>
      <c r="E82" s="20">
        <f t="shared" si="1"/>
        <v>36599</v>
      </c>
    </row>
    <row r="83" spans="1:5" ht="15">
      <c r="A83" s="18" t="s">
        <v>140</v>
      </c>
      <c r="B83" s="19" t="s">
        <v>141</v>
      </c>
      <c r="C83" s="20">
        <f>173462+37945</f>
        <v>211407</v>
      </c>
      <c r="D83" s="17">
        <v>7700</v>
      </c>
      <c r="E83" s="20">
        <f t="shared" si="1"/>
        <v>219107</v>
      </c>
    </row>
    <row r="84" spans="1:5" ht="42" customHeight="1">
      <c r="A84" s="21" t="s">
        <v>142</v>
      </c>
      <c r="B84" s="13" t="s">
        <v>143</v>
      </c>
      <c r="C84" s="14">
        <f>C85+C87+C86</f>
        <v>92256</v>
      </c>
      <c r="D84" s="14">
        <f>D85+D87+D86</f>
        <v>2303</v>
      </c>
      <c r="E84" s="14">
        <f>E85+E87+E86</f>
        <v>94559</v>
      </c>
    </row>
    <row r="85" spans="1:5" ht="15">
      <c r="A85" s="15" t="s">
        <v>660</v>
      </c>
      <c r="B85" s="16" t="s">
        <v>661</v>
      </c>
      <c r="C85" s="17">
        <f>16800+6700</f>
        <v>23500</v>
      </c>
      <c r="D85" s="17">
        <v>0</v>
      </c>
      <c r="E85" s="17">
        <f>C85+D85</f>
        <v>23500</v>
      </c>
    </row>
    <row r="86" spans="1:5" ht="25.5">
      <c r="A86" s="15" t="s">
        <v>729</v>
      </c>
      <c r="B86" s="16" t="s">
        <v>730</v>
      </c>
      <c r="C86" s="17">
        <f>10927</f>
        <v>10927</v>
      </c>
      <c r="D86" s="17">
        <v>0</v>
      </c>
      <c r="E86" s="17">
        <f>C86+D86</f>
        <v>10927</v>
      </c>
    </row>
    <row r="87" spans="1:5" ht="15">
      <c r="A87" s="18" t="s">
        <v>592</v>
      </c>
      <c r="B87" s="19" t="s">
        <v>593</v>
      </c>
      <c r="C87" s="20">
        <f>50900+300+6629</f>
        <v>57829</v>
      </c>
      <c r="D87" s="17">
        <v>2303</v>
      </c>
      <c r="E87" s="20">
        <f>C87+D87</f>
        <v>60132</v>
      </c>
    </row>
    <row r="88" spans="1:5" ht="15.75">
      <c r="A88" s="6"/>
      <c r="B88" s="7" t="s">
        <v>144</v>
      </c>
      <c r="C88" s="8">
        <f>C89+C90</f>
        <v>29067349</v>
      </c>
      <c r="D88" s="8">
        <f>D89+D90</f>
        <v>-2465449</v>
      </c>
      <c r="E88" s="8">
        <f>E89+E90</f>
        <v>26601900</v>
      </c>
    </row>
    <row r="89" spans="1:5" ht="15">
      <c r="A89" s="40" t="s">
        <v>145</v>
      </c>
      <c r="B89" s="41" t="s">
        <v>146</v>
      </c>
      <c r="C89" s="20">
        <v>10429313</v>
      </c>
      <c r="D89" s="20">
        <v>0</v>
      </c>
      <c r="E89" s="20">
        <f>C89+D89</f>
        <v>10429313</v>
      </c>
    </row>
    <row r="90" spans="1:5" ht="15">
      <c r="A90" s="40" t="s">
        <v>147</v>
      </c>
      <c r="B90" s="41" t="s">
        <v>148</v>
      </c>
      <c r="C90" s="20">
        <f>18752551+2999274+302332-3416121</f>
        <v>18638036</v>
      </c>
      <c r="D90" s="17">
        <v>-2465449</v>
      </c>
      <c r="E90" s="20">
        <f>C90+D90</f>
        <v>16172587</v>
      </c>
    </row>
    <row r="91" spans="1:5" ht="15.75">
      <c r="A91" s="42"/>
      <c r="B91" s="7" t="s">
        <v>149</v>
      </c>
      <c r="C91" s="8">
        <f>C9+C88</f>
        <v>117411609</v>
      </c>
      <c r="D91" s="8">
        <f>D9+D88</f>
        <v>-2564656</v>
      </c>
      <c r="E91" s="8">
        <f>E9+E88</f>
        <v>114846953</v>
      </c>
    </row>
    <row r="92" ht="15">
      <c r="E92" s="197"/>
    </row>
    <row r="93" ht="15">
      <c r="C93" s="197"/>
    </row>
    <row r="94" spans="1:5" ht="18.75">
      <c r="A94" s="89" t="s">
        <v>150</v>
      </c>
      <c r="B94" s="90"/>
      <c r="C94" s="91"/>
      <c r="D94" s="91"/>
      <c r="E94" s="91" t="s">
        <v>151</v>
      </c>
    </row>
  </sheetData>
  <sheetProtection/>
  <mergeCells count="5">
    <mergeCell ref="D1:E1"/>
    <mergeCell ref="B2:E2"/>
    <mergeCell ref="C3:E3"/>
    <mergeCell ref="A5:E5"/>
    <mergeCell ref="A6:E6"/>
  </mergeCells>
  <printOptions horizontalCentered="1"/>
  <pageMargins left="0.7874015748031497" right="0.7874015748031497" top="0.5905511811023623" bottom="0.5905511811023623" header="0.1968503937007874" footer="0.1968503937007874"/>
  <pageSetup fitToHeight="0" fitToWidth="1" horizontalDpi="600" verticalDpi="600" orientation="portrait" paperSize="9" scale="96" r:id="rId1"/>
  <headerFooter>
    <oddFooter>&amp;R&amp;P</oddFooter>
  </headerFooter>
  <ignoredErrors>
    <ignoredError sqref="E13 E17 E26 E41 E45 E51 E57:E58 E66 E68 E71 E73 E78 E8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11.140625" style="4" customWidth="1"/>
    <col min="2" max="2" width="44.8515625" style="4" customWidth="1"/>
    <col min="3" max="3" width="16.140625" style="4" customWidth="1"/>
    <col min="4" max="4" width="15.28125" style="4" customWidth="1"/>
    <col min="5" max="5" width="14.00390625" style="4" customWidth="1"/>
    <col min="6" max="6" width="14.421875" style="4" customWidth="1"/>
    <col min="7" max="7" width="13.8515625" style="4" customWidth="1"/>
    <col min="8" max="8" width="15.421875" style="4" customWidth="1"/>
    <col min="9" max="16384" width="9.140625" style="4" customWidth="1"/>
  </cols>
  <sheetData>
    <row r="1" spans="1:10" ht="15">
      <c r="A1" s="3"/>
      <c r="F1" s="3"/>
      <c r="G1" s="427" t="s">
        <v>152</v>
      </c>
      <c r="H1" s="427"/>
      <c r="J1" s="79"/>
    </row>
    <row r="2" spans="6:10" ht="15">
      <c r="F2" s="427" t="s">
        <v>986</v>
      </c>
      <c r="G2" s="427"/>
      <c r="H2" s="427"/>
      <c r="I2" s="82"/>
      <c r="J2" s="79"/>
    </row>
    <row r="3" spans="6:10" ht="15">
      <c r="F3" s="3"/>
      <c r="G3" s="3"/>
      <c r="H3" s="359" t="s">
        <v>987</v>
      </c>
      <c r="I3" s="83"/>
      <c r="J3" s="83"/>
    </row>
    <row r="5" spans="1:8" ht="18.75">
      <c r="A5" s="428" t="s">
        <v>677</v>
      </c>
      <c r="B5" s="428"/>
      <c r="C5" s="428"/>
      <c r="D5" s="428"/>
      <c r="E5" s="428"/>
      <c r="F5" s="428"/>
      <c r="G5" s="428"/>
      <c r="H5" s="428"/>
    </row>
    <row r="6" spans="1:8" ht="15">
      <c r="A6" s="429" t="s">
        <v>153</v>
      </c>
      <c r="B6" s="429"/>
      <c r="C6" s="429"/>
      <c r="D6" s="429"/>
      <c r="E6" s="429"/>
      <c r="F6" s="429"/>
      <c r="G6" s="429"/>
      <c r="H6" s="429"/>
    </row>
    <row r="7" ht="15">
      <c r="H7" s="5" t="s">
        <v>3</v>
      </c>
    </row>
    <row r="8" spans="1:8" s="84" customFormat="1" ht="15" customHeight="1">
      <c r="A8" s="430" t="s">
        <v>4</v>
      </c>
      <c r="B8" s="430" t="s">
        <v>154</v>
      </c>
      <c r="C8" s="430" t="s">
        <v>678</v>
      </c>
      <c r="D8" s="431" t="s">
        <v>155</v>
      </c>
      <c r="E8" s="431"/>
      <c r="F8" s="431"/>
      <c r="G8" s="431"/>
      <c r="H8" s="430" t="str">
        <f>'1.pielikums'!E8</f>
        <v>Precizētais plāns uz 22.12.2022.</v>
      </c>
    </row>
    <row r="9" spans="1:8" s="84" customFormat="1" ht="42.75">
      <c r="A9" s="430"/>
      <c r="B9" s="430"/>
      <c r="C9" s="430"/>
      <c r="D9" s="104" t="s">
        <v>156</v>
      </c>
      <c r="E9" s="104" t="s">
        <v>157</v>
      </c>
      <c r="F9" s="104" t="s">
        <v>86</v>
      </c>
      <c r="G9" s="104" t="s">
        <v>158</v>
      </c>
      <c r="H9" s="430"/>
    </row>
    <row r="10" spans="1:8" ht="37.5">
      <c r="A10" s="43"/>
      <c r="B10" s="44" t="s">
        <v>159</v>
      </c>
      <c r="C10" s="45">
        <f>SUM(C11:C19)</f>
        <v>111897739</v>
      </c>
      <c r="D10" s="45">
        <f>SUM(D11:D19)</f>
        <v>-2465449</v>
      </c>
      <c r="E10" s="45">
        <f>SUM(E11:E19)</f>
        <v>14228</v>
      </c>
      <c r="F10" s="45">
        <f>SUM(F11:F19)</f>
        <v>-181576</v>
      </c>
      <c r="G10" s="45">
        <f>SUM(G11:G19)</f>
        <v>68141</v>
      </c>
      <c r="H10" s="45">
        <f>C10+D10+E10+F10+G10</f>
        <v>109333083</v>
      </c>
    </row>
    <row r="11" spans="1:8" ht="15">
      <c r="A11" s="46" t="s">
        <v>160</v>
      </c>
      <c r="B11" s="47" t="s">
        <v>161</v>
      </c>
      <c r="C11" s="48">
        <v>10455533</v>
      </c>
      <c r="D11" s="49">
        <f>'3.pielikums'!E12</f>
        <v>-88048</v>
      </c>
      <c r="E11" s="49">
        <f>'3.pielikums'!G12</f>
        <v>0</v>
      </c>
      <c r="F11" s="49">
        <f>'3.pielikums'!I12</f>
        <v>0</v>
      </c>
      <c r="G11" s="49">
        <f>'3.pielikums'!K12</f>
        <v>68141</v>
      </c>
      <c r="H11" s="322">
        <f aca="true" t="shared" si="0" ref="H11:H29">C11+D11+E11+F11+G11</f>
        <v>10435626</v>
      </c>
    </row>
    <row r="12" spans="1:8" ht="15">
      <c r="A12" s="46" t="s">
        <v>162</v>
      </c>
      <c r="B12" s="47" t="s">
        <v>163</v>
      </c>
      <c r="C12" s="48">
        <v>4182443</v>
      </c>
      <c r="D12" s="49">
        <f>'3.pielikums'!E34</f>
        <v>0</v>
      </c>
      <c r="E12" s="49">
        <f>'3.pielikums'!G34</f>
        <v>0</v>
      </c>
      <c r="F12" s="49">
        <f>'3.pielikums'!I34</f>
        <v>0</v>
      </c>
      <c r="G12" s="49">
        <f>'3.pielikums'!K34</f>
        <v>0</v>
      </c>
      <c r="H12" s="322">
        <f t="shared" si="0"/>
        <v>4182443</v>
      </c>
    </row>
    <row r="13" spans="1:8" ht="15">
      <c r="A13" s="46" t="s">
        <v>164</v>
      </c>
      <c r="B13" s="47" t="s">
        <v>165</v>
      </c>
      <c r="C13" s="48">
        <v>15054371</v>
      </c>
      <c r="D13" s="49">
        <f>'3.pielikums'!E41</f>
        <v>-57315</v>
      </c>
      <c r="E13" s="49">
        <f>'3.pielikums'!G41</f>
        <v>0</v>
      </c>
      <c r="F13" s="49">
        <f>'3.pielikums'!I41</f>
        <v>0</v>
      </c>
      <c r="G13" s="49">
        <f>'3.pielikums'!K41</f>
        <v>0</v>
      </c>
      <c r="H13" s="322">
        <f t="shared" si="0"/>
        <v>14997056</v>
      </c>
    </row>
    <row r="14" spans="1:8" ht="15">
      <c r="A14" s="46" t="s">
        <v>166</v>
      </c>
      <c r="B14" s="47" t="s">
        <v>167</v>
      </c>
      <c r="C14" s="48">
        <v>2859834</v>
      </c>
      <c r="D14" s="49">
        <f>'3.pielikums'!E62</f>
        <v>0</v>
      </c>
      <c r="E14" s="49">
        <f>'3.pielikums'!G62</f>
        <v>0</v>
      </c>
      <c r="F14" s="49">
        <f>'3.pielikums'!I62</f>
        <v>0</v>
      </c>
      <c r="G14" s="49">
        <f>'3.pielikums'!K62</f>
        <v>0</v>
      </c>
      <c r="H14" s="322">
        <f t="shared" si="0"/>
        <v>2859834</v>
      </c>
    </row>
    <row r="15" spans="1:8" ht="15">
      <c r="A15" s="46" t="s">
        <v>168</v>
      </c>
      <c r="B15" s="47" t="s">
        <v>169</v>
      </c>
      <c r="C15" s="48">
        <v>4244435</v>
      </c>
      <c r="D15" s="49">
        <f>'3.pielikums'!E74</f>
        <v>5060</v>
      </c>
      <c r="E15" s="49">
        <f>'3.pielikums'!G74</f>
        <v>0</v>
      </c>
      <c r="F15" s="49">
        <f>'3.pielikums'!I74</f>
        <v>0</v>
      </c>
      <c r="G15" s="49">
        <f>'3.pielikums'!K74</f>
        <v>0</v>
      </c>
      <c r="H15" s="322">
        <f t="shared" si="0"/>
        <v>4249495</v>
      </c>
    </row>
    <row r="16" spans="1:8" ht="15">
      <c r="A16" s="46" t="s">
        <v>170</v>
      </c>
      <c r="B16" s="47" t="s">
        <v>171</v>
      </c>
      <c r="C16" s="48">
        <v>340621</v>
      </c>
      <c r="D16" s="49">
        <f>'3.pielikums'!E90</f>
        <v>6266</v>
      </c>
      <c r="E16" s="49">
        <f>'3.pielikums'!G90</f>
        <v>0</v>
      </c>
      <c r="F16" s="49">
        <f>'3.pielikums'!I90</f>
        <v>0</v>
      </c>
      <c r="G16" s="49">
        <f>'3.pielikums'!K90</f>
        <v>0</v>
      </c>
      <c r="H16" s="322">
        <f t="shared" si="0"/>
        <v>346887</v>
      </c>
    </row>
    <row r="17" spans="1:8" ht="15">
      <c r="A17" s="46" t="s">
        <v>172</v>
      </c>
      <c r="B17" s="47" t="s">
        <v>173</v>
      </c>
      <c r="C17" s="48">
        <v>6608678</v>
      </c>
      <c r="D17" s="49">
        <f>'3.pielikums'!E97</f>
        <v>1850</v>
      </c>
      <c r="E17" s="49">
        <f>'3.pielikums'!G97</f>
        <v>0</v>
      </c>
      <c r="F17" s="49">
        <f>'3.pielikums'!I97</f>
        <v>1000</v>
      </c>
      <c r="G17" s="49">
        <f>'3.pielikums'!K97</f>
        <v>0</v>
      </c>
      <c r="H17" s="322">
        <f t="shared" si="0"/>
        <v>6611528</v>
      </c>
    </row>
    <row r="18" spans="1:8" ht="15">
      <c r="A18" s="46" t="s">
        <v>26</v>
      </c>
      <c r="B18" s="47" t="s">
        <v>174</v>
      </c>
      <c r="C18" s="48">
        <v>54095420</v>
      </c>
      <c r="D18" s="49">
        <f>'3.pielikums'!E126</f>
        <v>-1277312</v>
      </c>
      <c r="E18" s="49">
        <f>'3.pielikums'!G126</f>
        <v>14228</v>
      </c>
      <c r="F18" s="49">
        <f>'3.pielikums'!I126</f>
        <v>25449</v>
      </c>
      <c r="G18" s="49">
        <f>'3.pielikums'!K126</f>
        <v>0</v>
      </c>
      <c r="H18" s="322">
        <f t="shared" si="0"/>
        <v>52857785</v>
      </c>
    </row>
    <row r="19" spans="1:8" ht="15">
      <c r="A19" s="46" t="s">
        <v>52</v>
      </c>
      <c r="B19" s="47" t="s">
        <v>175</v>
      </c>
      <c r="C19" s="48">
        <v>14056404</v>
      </c>
      <c r="D19" s="49">
        <f>'3.pielikums'!E166</f>
        <v>-1055950</v>
      </c>
      <c r="E19" s="49">
        <f>'3.pielikums'!G166</f>
        <v>0</v>
      </c>
      <c r="F19" s="49">
        <f>'3.pielikums'!I166</f>
        <v>-208025</v>
      </c>
      <c r="G19" s="49">
        <f>'3.pielikums'!K166</f>
        <v>0</v>
      </c>
      <c r="H19" s="322">
        <f t="shared" si="0"/>
        <v>12792429</v>
      </c>
    </row>
    <row r="20" spans="1:8" ht="18.75">
      <c r="A20" s="50"/>
      <c r="B20" s="51" t="s">
        <v>176</v>
      </c>
      <c r="C20" s="45">
        <f>C21+C22+C28</f>
        <v>5513870</v>
      </c>
      <c r="D20" s="45">
        <f>D21+D22+D28</f>
        <v>0</v>
      </c>
      <c r="E20" s="45">
        <f>E21+E22+E28</f>
        <v>0</v>
      </c>
      <c r="F20" s="45">
        <f>F21+F22+F28</f>
        <v>0</v>
      </c>
      <c r="G20" s="45">
        <f>G21+G22+G28</f>
        <v>0</v>
      </c>
      <c r="H20" s="45">
        <f t="shared" si="0"/>
        <v>5513870</v>
      </c>
    </row>
    <row r="21" spans="1:8" ht="15">
      <c r="A21" s="46" t="s">
        <v>177</v>
      </c>
      <c r="B21" s="46" t="s">
        <v>178</v>
      </c>
      <c r="C21" s="48">
        <v>5149586</v>
      </c>
      <c r="D21" s="49">
        <f>'3.pielikums'!E202</f>
        <v>0</v>
      </c>
      <c r="E21" s="49">
        <f>'3.pielikums'!G202</f>
        <v>0</v>
      </c>
      <c r="F21" s="49">
        <f>'3.pielikums'!I202</f>
        <v>0</v>
      </c>
      <c r="G21" s="49">
        <f>'3.pielikums'!K202</f>
        <v>0</v>
      </c>
      <c r="H21" s="322">
        <f t="shared" si="0"/>
        <v>5149586</v>
      </c>
    </row>
    <row r="22" spans="1:8" ht="15">
      <c r="A22" s="46" t="s">
        <v>179</v>
      </c>
      <c r="B22" s="52" t="s">
        <v>180</v>
      </c>
      <c r="C22" s="48">
        <v>359682</v>
      </c>
      <c r="D22" s="49">
        <f>SUM(D23:D27)</f>
        <v>0</v>
      </c>
      <c r="E22" s="49">
        <f>SUM(E23:E27)</f>
        <v>0</v>
      </c>
      <c r="F22" s="49">
        <f>SUM(F23:F27)</f>
        <v>0</v>
      </c>
      <c r="G22" s="49">
        <f>SUM(G23:G27)</f>
        <v>0</v>
      </c>
      <c r="H22" s="322">
        <f t="shared" si="0"/>
        <v>359682</v>
      </c>
    </row>
    <row r="23" spans="1:8" ht="15" hidden="1">
      <c r="A23" s="105"/>
      <c r="B23" s="106" t="s">
        <v>181</v>
      </c>
      <c r="C23" s="107">
        <v>0</v>
      </c>
      <c r="D23" s="108">
        <f>'3.pielikums'!E204</f>
        <v>0</v>
      </c>
      <c r="E23" s="108">
        <f>'3.pielikums'!G204</f>
        <v>0</v>
      </c>
      <c r="F23" s="108">
        <f>'3.pielikums'!I204</f>
        <v>0</v>
      </c>
      <c r="G23" s="108">
        <f>'3.pielikums'!K204</f>
        <v>0</v>
      </c>
      <c r="H23" s="108">
        <f t="shared" si="0"/>
        <v>0</v>
      </c>
    </row>
    <row r="24" spans="1:8" s="81" customFormat="1" ht="15" hidden="1">
      <c r="A24" s="105"/>
      <c r="B24" s="106" t="s">
        <v>182</v>
      </c>
      <c r="C24" s="107">
        <v>0</v>
      </c>
      <c r="D24" s="108">
        <f>'3.pielikums'!E205</f>
        <v>0</v>
      </c>
      <c r="E24" s="108">
        <f>'3.pielikums'!G205</f>
        <v>0</v>
      </c>
      <c r="F24" s="108">
        <f>'3.pielikums'!I205</f>
        <v>0</v>
      </c>
      <c r="G24" s="108">
        <f>'3.pielikums'!K205</f>
        <v>0</v>
      </c>
      <c r="H24" s="108">
        <f t="shared" si="0"/>
        <v>0</v>
      </c>
    </row>
    <row r="25" spans="1:8" ht="15">
      <c r="A25" s="46"/>
      <c r="B25" s="53" t="s">
        <v>183</v>
      </c>
      <c r="C25" s="54">
        <v>359682</v>
      </c>
      <c r="D25" s="54">
        <f>'3.pielikums'!E206</f>
        <v>0</v>
      </c>
      <c r="E25" s="54">
        <f>'3.pielikums'!G206</f>
        <v>0</v>
      </c>
      <c r="F25" s="54">
        <f>'3.pielikums'!I206</f>
        <v>0</v>
      </c>
      <c r="G25" s="54">
        <f>'3.pielikums'!K206</f>
        <v>0</v>
      </c>
      <c r="H25" s="55">
        <f t="shared" si="0"/>
        <v>359682</v>
      </c>
    </row>
    <row r="26" spans="1:8" ht="15" hidden="1">
      <c r="A26" s="92"/>
      <c r="B26" s="93" t="s">
        <v>184</v>
      </c>
      <c r="C26" s="94">
        <v>0</v>
      </c>
      <c r="D26" s="99">
        <f>'3.pielikums'!E207</f>
        <v>0</v>
      </c>
      <c r="E26" s="99">
        <f>'3.pielikums'!G207</f>
        <v>0</v>
      </c>
      <c r="F26" s="99">
        <f>'3.pielikums'!I207</f>
        <v>0</v>
      </c>
      <c r="G26" s="99">
        <f>'3.pielikums'!K207</f>
        <v>0</v>
      </c>
      <c r="H26" s="99">
        <f t="shared" si="0"/>
        <v>0</v>
      </c>
    </row>
    <row r="27" spans="1:8" ht="15" hidden="1">
      <c r="A27" s="92"/>
      <c r="B27" s="93" t="s">
        <v>185</v>
      </c>
      <c r="C27" s="94">
        <v>0</v>
      </c>
      <c r="D27" s="99">
        <f>'3.pielikums'!E208</f>
        <v>0</v>
      </c>
      <c r="E27" s="99">
        <f>'3.pielikums'!G208</f>
        <v>0</v>
      </c>
      <c r="F27" s="99">
        <f>'3.pielikums'!I208</f>
        <v>0</v>
      </c>
      <c r="G27" s="99">
        <f>'3.pielikums'!K208</f>
        <v>0</v>
      </c>
      <c r="H27" s="99">
        <f t="shared" si="0"/>
        <v>0</v>
      </c>
    </row>
    <row r="28" spans="1:8" ht="15">
      <c r="A28" s="46" t="s">
        <v>145</v>
      </c>
      <c r="B28" s="56" t="s">
        <v>186</v>
      </c>
      <c r="C28" s="48">
        <v>4602</v>
      </c>
      <c r="D28" s="49">
        <f>'3.pielikums'!E209</f>
        <v>0</v>
      </c>
      <c r="E28" s="49">
        <f>'3.pielikums'!G209</f>
        <v>0</v>
      </c>
      <c r="F28" s="49">
        <f>'3.pielikums'!I209</f>
        <v>0</v>
      </c>
      <c r="G28" s="49">
        <f>'3.pielikums'!K209</f>
        <v>0</v>
      </c>
      <c r="H28" s="322">
        <f t="shared" si="0"/>
        <v>4602</v>
      </c>
    </row>
    <row r="29" spans="1:8" ht="18.75">
      <c r="A29" s="57"/>
      <c r="B29" s="51" t="s">
        <v>187</v>
      </c>
      <c r="C29" s="45">
        <f>C10+C20</f>
        <v>117411609</v>
      </c>
      <c r="D29" s="45">
        <f>D10+D20</f>
        <v>-2465449</v>
      </c>
      <c r="E29" s="45">
        <f>E10+E20</f>
        <v>14228</v>
      </c>
      <c r="F29" s="45">
        <f>F10+F20</f>
        <v>-181576</v>
      </c>
      <c r="G29" s="45">
        <f>G10+G20</f>
        <v>68141</v>
      </c>
      <c r="H29" s="45">
        <f t="shared" si="0"/>
        <v>114846953</v>
      </c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8.75">
      <c r="A31" s="91" t="s">
        <v>150</v>
      </c>
      <c r="B31" s="3"/>
      <c r="C31" s="3"/>
      <c r="D31" s="3"/>
      <c r="E31" s="3"/>
      <c r="F31" s="3"/>
      <c r="G31" s="3"/>
      <c r="H31" s="91" t="s">
        <v>151</v>
      </c>
    </row>
    <row r="32" spans="1:8" ht="15">
      <c r="A32" s="3"/>
      <c r="B32" s="3"/>
      <c r="C32" s="197"/>
      <c r="D32" s="3"/>
      <c r="E32" s="3"/>
      <c r="F32" s="3"/>
      <c r="G32" s="3"/>
      <c r="H32" s="3"/>
    </row>
    <row r="33" ht="15">
      <c r="C33" s="80"/>
    </row>
  </sheetData>
  <sheetProtection/>
  <mergeCells count="9">
    <mergeCell ref="G1:H1"/>
    <mergeCell ref="F2:H2"/>
    <mergeCell ref="A5:H5"/>
    <mergeCell ref="A6:H6"/>
    <mergeCell ref="A8:A9"/>
    <mergeCell ref="B8:B9"/>
    <mergeCell ref="C8:C9"/>
    <mergeCell ref="D8:G8"/>
    <mergeCell ref="H8:H9"/>
  </mergeCells>
  <printOptions horizontalCentered="1"/>
  <pageMargins left="0.7874015748031497" right="0.7874015748031497" top="1.1811023622047245" bottom="0.5905511811023623" header="0.1968503937007874" footer="0.1968503937007874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0.57421875" style="4" customWidth="1"/>
    <col min="2" max="2" width="33.7109375" style="364" customWidth="1"/>
    <col min="3" max="3" width="12.7109375" style="84" customWidth="1"/>
    <col min="4" max="4" width="11.8515625" style="4" customWidth="1"/>
    <col min="5" max="5" width="11.57421875" style="365" customWidth="1"/>
    <col min="6" max="6" width="10.140625" style="4" customWidth="1"/>
    <col min="7" max="7" width="10.8515625" style="365" customWidth="1"/>
    <col min="8" max="8" width="11.8515625" style="4" customWidth="1"/>
    <col min="9" max="9" width="11.421875" style="365" customWidth="1"/>
    <col min="10" max="10" width="10.8515625" style="4" customWidth="1"/>
    <col min="11" max="11" width="11.00390625" style="365" customWidth="1"/>
    <col min="12" max="12" width="11.140625" style="4" customWidth="1"/>
    <col min="13" max="16384" width="9.140625" style="4" customWidth="1"/>
  </cols>
  <sheetData>
    <row r="1" spans="1:12" ht="15">
      <c r="A1" s="3"/>
      <c r="B1" s="95"/>
      <c r="C1" s="96"/>
      <c r="D1" s="3"/>
      <c r="E1" s="58"/>
      <c r="F1" s="3"/>
      <c r="G1" s="58"/>
      <c r="H1" s="3"/>
      <c r="I1" s="58"/>
      <c r="J1" s="3"/>
      <c r="K1" s="427" t="s">
        <v>188</v>
      </c>
      <c r="L1" s="427"/>
    </row>
    <row r="2" spans="1:12" ht="15">
      <c r="A2" s="3"/>
      <c r="B2" s="95"/>
      <c r="C2" s="96"/>
      <c r="D2" s="3"/>
      <c r="E2" s="58"/>
      <c r="F2" s="3"/>
      <c r="G2" s="58"/>
      <c r="H2" s="427" t="s">
        <v>986</v>
      </c>
      <c r="I2" s="427"/>
      <c r="J2" s="427"/>
      <c r="K2" s="427"/>
      <c r="L2" s="427"/>
    </row>
    <row r="3" spans="1:12" ht="15">
      <c r="A3" s="3"/>
      <c r="B3" s="95"/>
      <c r="C3" s="96"/>
      <c r="D3" s="3"/>
      <c r="E3" s="58"/>
      <c r="F3" s="3"/>
      <c r="G3" s="58"/>
      <c r="H3" s="3"/>
      <c r="I3" s="58"/>
      <c r="J3" s="3"/>
      <c r="K3" s="58"/>
      <c r="L3" s="359" t="s">
        <v>988</v>
      </c>
    </row>
    <row r="4" spans="1:12" ht="15">
      <c r="A4" s="3"/>
      <c r="B4" s="95"/>
      <c r="C4" s="96"/>
      <c r="D4" s="3"/>
      <c r="E4" s="58"/>
      <c r="F4" s="3"/>
      <c r="G4" s="58"/>
      <c r="H4" s="3"/>
      <c r="I4" s="58"/>
      <c r="J4" s="3"/>
      <c r="K4" s="58"/>
      <c r="L4" s="3"/>
    </row>
    <row r="5" spans="1:12" ht="18.75">
      <c r="A5" s="428" t="s">
        <v>677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</row>
    <row r="6" spans="1:12" ht="15">
      <c r="A6" s="429" t="s">
        <v>189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</row>
    <row r="7" spans="1:12" ht="15">
      <c r="A7" s="3"/>
      <c r="B7" s="95"/>
      <c r="C7" s="96"/>
      <c r="D7" s="3"/>
      <c r="E7" s="58"/>
      <c r="F7" s="3"/>
      <c r="G7" s="58"/>
      <c r="H7" s="3"/>
      <c r="I7" s="58"/>
      <c r="J7" s="3"/>
      <c r="K7" s="58"/>
      <c r="L7" s="5" t="s">
        <v>3</v>
      </c>
    </row>
    <row r="8" spans="1:12" s="364" customFormat="1" ht="15">
      <c r="A8" s="434" t="s">
        <v>4</v>
      </c>
      <c r="B8" s="434" t="s">
        <v>154</v>
      </c>
      <c r="C8" s="434" t="str">
        <f>'2.pielikums'!H8:H9</f>
        <v>Precizētais plāns uz 22.12.2022.</v>
      </c>
      <c r="D8" s="434" t="s">
        <v>190</v>
      </c>
      <c r="E8" s="434"/>
      <c r="F8" s="434"/>
      <c r="G8" s="434"/>
      <c r="H8" s="434"/>
      <c r="I8" s="434"/>
      <c r="J8" s="434"/>
      <c r="K8" s="434"/>
      <c r="L8" s="434"/>
    </row>
    <row r="9" spans="1:12" s="364" customFormat="1" ht="48">
      <c r="A9" s="434"/>
      <c r="B9" s="434"/>
      <c r="C9" s="434"/>
      <c r="D9" s="59" t="s">
        <v>156</v>
      </c>
      <c r="E9" s="60" t="s">
        <v>191</v>
      </c>
      <c r="F9" s="59" t="s">
        <v>157</v>
      </c>
      <c r="G9" s="60" t="s">
        <v>192</v>
      </c>
      <c r="H9" s="59" t="s">
        <v>86</v>
      </c>
      <c r="I9" s="60" t="s">
        <v>193</v>
      </c>
      <c r="J9" s="59" t="s">
        <v>158</v>
      </c>
      <c r="K9" s="60" t="s">
        <v>194</v>
      </c>
      <c r="L9" s="59" t="s">
        <v>679</v>
      </c>
    </row>
    <row r="10" spans="1:12" ht="15">
      <c r="A10" s="101">
        <v>1</v>
      </c>
      <c r="B10" s="102">
        <v>2</v>
      </c>
      <c r="C10" s="116"/>
      <c r="D10" s="117">
        <v>4</v>
      </c>
      <c r="E10" s="117">
        <v>5</v>
      </c>
      <c r="F10" s="117">
        <v>6</v>
      </c>
      <c r="G10" s="117">
        <v>7</v>
      </c>
      <c r="H10" s="117">
        <v>8</v>
      </c>
      <c r="I10" s="117">
        <v>9</v>
      </c>
      <c r="J10" s="117">
        <v>10</v>
      </c>
      <c r="K10" s="117">
        <v>11</v>
      </c>
      <c r="L10" s="117">
        <v>12</v>
      </c>
    </row>
    <row r="11" spans="1:12" ht="28.5">
      <c r="A11" s="61"/>
      <c r="B11" s="10" t="s">
        <v>159</v>
      </c>
      <c r="C11" s="11">
        <f aca="true" t="shared" si="0" ref="C11:C35">SUM(D11:L11)</f>
        <v>109333083</v>
      </c>
      <c r="D11" s="11">
        <f>D12+D34+D41+D62+D74+D90+D97+D126+D166</f>
        <v>70868794</v>
      </c>
      <c r="E11" s="132">
        <f aca="true" t="shared" si="1" ref="E11:L11">E12+E34+E41+E62+E74+E90+E97+E126+E166</f>
        <v>-2465449</v>
      </c>
      <c r="F11" s="11">
        <f>F12+F34+F41+F62+F74+F90+F97+F126+F166</f>
        <v>1688193</v>
      </c>
      <c r="G11" s="132">
        <f t="shared" si="1"/>
        <v>14228</v>
      </c>
      <c r="H11" s="11">
        <f t="shared" si="1"/>
        <v>33020986</v>
      </c>
      <c r="I11" s="132">
        <f t="shared" si="1"/>
        <v>-181576</v>
      </c>
      <c r="J11" s="11">
        <f t="shared" si="1"/>
        <v>659769</v>
      </c>
      <c r="K11" s="132">
        <f t="shared" si="1"/>
        <v>68141</v>
      </c>
      <c r="L11" s="11">
        <f t="shared" si="1"/>
        <v>5659997</v>
      </c>
    </row>
    <row r="12" spans="1:12" ht="15">
      <c r="A12" s="62" t="s">
        <v>160</v>
      </c>
      <c r="B12" s="63" t="s">
        <v>161</v>
      </c>
      <c r="C12" s="64">
        <f>SUM(D12:L12)</f>
        <v>10435626</v>
      </c>
      <c r="D12" s="64">
        <f aca="true" t="shared" si="2" ref="D12:L12">D13+D18+D22+D25+D27+D29+D32</f>
        <v>7298248</v>
      </c>
      <c r="E12" s="65">
        <f t="shared" si="2"/>
        <v>-88048</v>
      </c>
      <c r="F12" s="64">
        <f t="shared" si="2"/>
        <v>139500</v>
      </c>
      <c r="G12" s="65">
        <f t="shared" si="2"/>
        <v>0</v>
      </c>
      <c r="H12" s="64">
        <f t="shared" si="2"/>
        <v>2055221</v>
      </c>
      <c r="I12" s="65">
        <f t="shared" si="2"/>
        <v>0</v>
      </c>
      <c r="J12" s="64">
        <f t="shared" si="2"/>
        <v>598280</v>
      </c>
      <c r="K12" s="65">
        <f t="shared" si="2"/>
        <v>68141</v>
      </c>
      <c r="L12" s="64">
        <f t="shared" si="2"/>
        <v>364284</v>
      </c>
    </row>
    <row r="13" spans="1:12" ht="25.5">
      <c r="A13" s="12" t="s">
        <v>195</v>
      </c>
      <c r="B13" s="13" t="s">
        <v>196</v>
      </c>
      <c r="C13" s="14">
        <f t="shared" si="0"/>
        <v>7203655</v>
      </c>
      <c r="D13" s="14">
        <f>SUM(D14:D17)</f>
        <v>4796273</v>
      </c>
      <c r="E13" s="66">
        <f aca="true" t="shared" si="3" ref="E13:L13">SUM(E14:E17)</f>
        <v>0</v>
      </c>
      <c r="F13" s="14">
        <f t="shared" si="3"/>
        <v>139500</v>
      </c>
      <c r="G13" s="66">
        <f t="shared" si="3"/>
        <v>0</v>
      </c>
      <c r="H13" s="14">
        <f t="shared" si="3"/>
        <v>1930852</v>
      </c>
      <c r="I13" s="66">
        <f t="shared" si="3"/>
        <v>0</v>
      </c>
      <c r="J13" s="14">
        <f t="shared" si="3"/>
        <v>0</v>
      </c>
      <c r="K13" s="66">
        <f t="shared" si="3"/>
        <v>0</v>
      </c>
      <c r="L13" s="14">
        <f t="shared" si="3"/>
        <v>337030</v>
      </c>
    </row>
    <row r="14" spans="1:12" ht="15">
      <c r="A14" s="15" t="s">
        <v>11</v>
      </c>
      <c r="B14" s="16" t="s">
        <v>197</v>
      </c>
      <c r="C14" s="25">
        <f t="shared" si="0"/>
        <v>5959850</v>
      </c>
      <c r="D14" s="17">
        <f>4107186+100000+130528+275000</f>
        <v>4612714</v>
      </c>
      <c r="E14" s="67">
        <v>0</v>
      </c>
      <c r="F14" s="17">
        <f>99500+30000+10000</f>
        <v>139500</v>
      </c>
      <c r="G14" s="67">
        <v>0</v>
      </c>
      <c r="H14" s="17">
        <f>0+110918+1088472</f>
        <v>1199390</v>
      </c>
      <c r="I14" s="67">
        <v>0</v>
      </c>
      <c r="J14" s="17">
        <v>0</v>
      </c>
      <c r="K14" s="67">
        <v>0</v>
      </c>
      <c r="L14" s="17">
        <v>8246</v>
      </c>
    </row>
    <row r="15" spans="1:12" ht="38.25">
      <c r="A15" s="18" t="s">
        <v>198</v>
      </c>
      <c r="B15" s="19" t="s">
        <v>199</v>
      </c>
      <c r="C15" s="14">
        <f t="shared" si="0"/>
        <v>8482</v>
      </c>
      <c r="D15" s="20">
        <v>0</v>
      </c>
      <c r="E15" s="67">
        <v>0</v>
      </c>
      <c r="F15" s="17">
        <v>0</v>
      </c>
      <c r="G15" s="67">
        <v>0</v>
      </c>
      <c r="H15" s="17">
        <v>0</v>
      </c>
      <c r="I15" s="67">
        <v>0</v>
      </c>
      <c r="J15" s="17">
        <v>0</v>
      </c>
      <c r="K15" s="67">
        <v>0</v>
      </c>
      <c r="L15" s="20">
        <v>8482</v>
      </c>
    </row>
    <row r="16" spans="1:12" ht="31.5" customHeight="1">
      <c r="A16" s="18" t="s">
        <v>641</v>
      </c>
      <c r="B16" s="19" t="s">
        <v>642</v>
      </c>
      <c r="C16" s="14">
        <f t="shared" si="0"/>
        <v>1235323</v>
      </c>
      <c r="D16" s="20">
        <f>130559+53000</f>
        <v>183559</v>
      </c>
      <c r="E16" s="67">
        <v>0</v>
      </c>
      <c r="F16" s="17">
        <v>0</v>
      </c>
      <c r="G16" s="67">
        <v>0</v>
      </c>
      <c r="H16" s="17">
        <v>731462</v>
      </c>
      <c r="I16" s="67">
        <v>0</v>
      </c>
      <c r="J16" s="17">
        <v>0</v>
      </c>
      <c r="K16" s="67">
        <v>0</v>
      </c>
      <c r="L16" s="20">
        <v>320302</v>
      </c>
    </row>
    <row r="17" spans="1:12" ht="15" hidden="1">
      <c r="A17" s="366"/>
      <c r="B17" s="367"/>
      <c r="C17" s="368">
        <f>SUM(D17:L17)</f>
        <v>0</v>
      </c>
      <c r="D17" s="369"/>
      <c r="E17" s="370"/>
      <c r="F17" s="369"/>
      <c r="G17" s="370"/>
      <c r="H17" s="369"/>
      <c r="I17" s="370"/>
      <c r="J17" s="369"/>
      <c r="K17" s="370"/>
      <c r="L17" s="369"/>
    </row>
    <row r="18" spans="1:12" ht="15">
      <c r="A18" s="12" t="s">
        <v>200</v>
      </c>
      <c r="B18" s="13" t="s">
        <v>201</v>
      </c>
      <c r="C18" s="14">
        <f t="shared" si="0"/>
        <v>1041300</v>
      </c>
      <c r="D18" s="14">
        <f>SUM(D19:D21)</f>
        <v>1041300</v>
      </c>
      <c r="E18" s="70">
        <f aca="true" t="shared" si="4" ref="E18:L18">SUM(E19:E21)</f>
        <v>0</v>
      </c>
      <c r="F18" s="25">
        <f t="shared" si="4"/>
        <v>0</v>
      </c>
      <c r="G18" s="70">
        <f t="shared" si="4"/>
        <v>0</v>
      </c>
      <c r="H18" s="25">
        <f t="shared" si="4"/>
        <v>0</v>
      </c>
      <c r="I18" s="70">
        <f t="shared" si="4"/>
        <v>0</v>
      </c>
      <c r="J18" s="25">
        <f t="shared" si="4"/>
        <v>0</v>
      </c>
      <c r="K18" s="66">
        <f t="shared" si="4"/>
        <v>0</v>
      </c>
      <c r="L18" s="14">
        <f t="shared" si="4"/>
        <v>0</v>
      </c>
    </row>
    <row r="19" spans="1:12" ht="38.25">
      <c r="A19" s="18" t="s">
        <v>202</v>
      </c>
      <c r="B19" s="19" t="s">
        <v>203</v>
      </c>
      <c r="C19" s="14">
        <f t="shared" si="0"/>
        <v>659740</v>
      </c>
      <c r="D19" s="17">
        <f>9740+650000</f>
        <v>659740</v>
      </c>
      <c r="E19" s="67">
        <v>0</v>
      </c>
      <c r="F19" s="17">
        <v>0</v>
      </c>
      <c r="G19" s="67">
        <v>0</v>
      </c>
      <c r="H19" s="17">
        <v>0</v>
      </c>
      <c r="I19" s="67">
        <v>0</v>
      </c>
      <c r="J19" s="17">
        <v>0</v>
      </c>
      <c r="K19" s="67">
        <v>0</v>
      </c>
      <c r="L19" s="17">
        <v>0</v>
      </c>
    </row>
    <row r="20" spans="1:12" ht="38.25">
      <c r="A20" s="18" t="s">
        <v>204</v>
      </c>
      <c r="B20" s="19" t="s">
        <v>205</v>
      </c>
      <c r="C20" s="14">
        <f t="shared" si="0"/>
        <v>289665</v>
      </c>
      <c r="D20" s="17">
        <f>281446+8219</f>
        <v>289665</v>
      </c>
      <c r="E20" s="67">
        <v>0</v>
      </c>
      <c r="F20" s="17">
        <v>0</v>
      </c>
      <c r="G20" s="67">
        <v>0</v>
      </c>
      <c r="H20" s="17">
        <v>0</v>
      </c>
      <c r="I20" s="67">
        <v>0</v>
      </c>
      <c r="J20" s="17">
        <v>0</v>
      </c>
      <c r="K20" s="67">
        <v>0</v>
      </c>
      <c r="L20" s="17">
        <v>0</v>
      </c>
    </row>
    <row r="21" spans="1:12" ht="38.25">
      <c r="A21" s="18" t="s">
        <v>206</v>
      </c>
      <c r="B21" s="19" t="s">
        <v>207</v>
      </c>
      <c r="C21" s="14">
        <f t="shared" si="0"/>
        <v>91895</v>
      </c>
      <c r="D21" s="17">
        <v>91895</v>
      </c>
      <c r="E21" s="67">
        <v>0</v>
      </c>
      <c r="F21" s="17">
        <v>0</v>
      </c>
      <c r="G21" s="67">
        <v>0</v>
      </c>
      <c r="H21" s="17">
        <v>0</v>
      </c>
      <c r="I21" s="67">
        <v>0</v>
      </c>
      <c r="J21" s="17">
        <v>0</v>
      </c>
      <c r="K21" s="67">
        <v>0</v>
      </c>
      <c r="L21" s="17">
        <v>0</v>
      </c>
    </row>
    <row r="22" spans="1:12" ht="26.25">
      <c r="A22" s="12" t="s">
        <v>208</v>
      </c>
      <c r="B22" s="71" t="s">
        <v>209</v>
      </c>
      <c r="C22" s="14">
        <f t="shared" si="0"/>
        <v>698197</v>
      </c>
      <c r="D22" s="25">
        <f aca="true" t="shared" si="5" ref="D22:L22">SUM(D23:D24)</f>
        <v>648433</v>
      </c>
      <c r="E22" s="70">
        <f t="shared" si="5"/>
        <v>0</v>
      </c>
      <c r="F22" s="25">
        <f t="shared" si="5"/>
        <v>0</v>
      </c>
      <c r="G22" s="70">
        <f t="shared" si="5"/>
        <v>0</v>
      </c>
      <c r="H22" s="25">
        <f t="shared" si="5"/>
        <v>40610</v>
      </c>
      <c r="I22" s="70">
        <f t="shared" si="5"/>
        <v>0</v>
      </c>
      <c r="J22" s="25">
        <f t="shared" si="5"/>
        <v>0</v>
      </c>
      <c r="K22" s="70">
        <f t="shared" si="5"/>
        <v>0</v>
      </c>
      <c r="L22" s="25">
        <f t="shared" si="5"/>
        <v>9154</v>
      </c>
    </row>
    <row r="23" spans="1:12" ht="25.5">
      <c r="A23" s="18" t="s">
        <v>210</v>
      </c>
      <c r="B23" s="19" t="s">
        <v>211</v>
      </c>
      <c r="C23" s="14">
        <f t="shared" si="0"/>
        <v>647725</v>
      </c>
      <c r="D23" s="17">
        <f>605249+42476</f>
        <v>647725</v>
      </c>
      <c r="E23" s="67">
        <v>0</v>
      </c>
      <c r="F23" s="17">
        <v>0</v>
      </c>
      <c r="G23" s="67">
        <v>0</v>
      </c>
      <c r="H23" s="17">
        <v>0</v>
      </c>
      <c r="I23" s="67">
        <v>0</v>
      </c>
      <c r="J23" s="17">
        <v>0</v>
      </c>
      <c r="K23" s="67">
        <v>0</v>
      </c>
      <c r="L23" s="17">
        <v>0</v>
      </c>
    </row>
    <row r="24" spans="1:12" ht="63.75">
      <c r="A24" s="18" t="s">
        <v>212</v>
      </c>
      <c r="B24" s="19" t="s">
        <v>680</v>
      </c>
      <c r="C24" s="14">
        <f t="shared" si="0"/>
        <v>50472</v>
      </c>
      <c r="D24" s="17">
        <v>708</v>
      </c>
      <c r="E24" s="67">
        <v>0</v>
      </c>
      <c r="F24" s="17">
        <v>0</v>
      </c>
      <c r="G24" s="67">
        <v>0</v>
      </c>
      <c r="H24" s="17">
        <v>40610</v>
      </c>
      <c r="I24" s="67">
        <v>0</v>
      </c>
      <c r="J24" s="17">
        <v>0</v>
      </c>
      <c r="K24" s="67">
        <v>0</v>
      </c>
      <c r="L24" s="20">
        <v>9154</v>
      </c>
    </row>
    <row r="25" spans="1:12" s="81" customFormat="1" ht="25.5">
      <c r="A25" s="136" t="s">
        <v>213</v>
      </c>
      <c r="B25" s="33" t="s">
        <v>214</v>
      </c>
      <c r="C25" s="25">
        <f t="shared" si="0"/>
        <v>83759</v>
      </c>
      <c r="D25" s="25">
        <f>D26</f>
        <v>0</v>
      </c>
      <c r="E25" s="70">
        <f aca="true" t="shared" si="6" ref="E25:L25">E26</f>
        <v>0</v>
      </c>
      <c r="F25" s="25">
        <f t="shared" si="6"/>
        <v>0</v>
      </c>
      <c r="G25" s="70">
        <f t="shared" si="6"/>
        <v>0</v>
      </c>
      <c r="H25" s="25">
        <f t="shared" si="6"/>
        <v>83759</v>
      </c>
      <c r="I25" s="70">
        <f t="shared" si="6"/>
        <v>0</v>
      </c>
      <c r="J25" s="25">
        <f t="shared" si="6"/>
        <v>0</v>
      </c>
      <c r="K25" s="70">
        <f t="shared" si="6"/>
        <v>0</v>
      </c>
      <c r="L25" s="25">
        <f t="shared" si="6"/>
        <v>0</v>
      </c>
    </row>
    <row r="26" spans="1:12" s="81" customFormat="1" ht="15">
      <c r="A26" s="15" t="s">
        <v>215</v>
      </c>
      <c r="B26" s="16" t="s">
        <v>216</v>
      </c>
      <c r="C26" s="25">
        <f t="shared" si="0"/>
        <v>83759</v>
      </c>
      <c r="D26" s="17">
        <v>0</v>
      </c>
      <c r="E26" s="67">
        <v>0</v>
      </c>
      <c r="F26" s="17">
        <v>0</v>
      </c>
      <c r="G26" s="67">
        <v>0</v>
      </c>
      <c r="H26" s="17">
        <f>5956+77803</f>
        <v>83759</v>
      </c>
      <c r="I26" s="67">
        <v>0</v>
      </c>
      <c r="J26" s="17">
        <v>0</v>
      </c>
      <c r="K26" s="67">
        <v>0</v>
      </c>
      <c r="L26" s="17">
        <v>0</v>
      </c>
    </row>
    <row r="27" spans="1:12" ht="15">
      <c r="A27" s="23" t="s">
        <v>217</v>
      </c>
      <c r="B27" s="24" t="s">
        <v>218</v>
      </c>
      <c r="C27" s="14">
        <f t="shared" si="0"/>
        <v>371108</v>
      </c>
      <c r="D27" s="25">
        <f>D28</f>
        <v>353008</v>
      </c>
      <c r="E27" s="70">
        <f aca="true" t="shared" si="7" ref="E27:L27">E28</f>
        <v>0</v>
      </c>
      <c r="F27" s="25">
        <f t="shared" si="7"/>
        <v>0</v>
      </c>
      <c r="G27" s="70">
        <f t="shared" si="7"/>
        <v>0</v>
      </c>
      <c r="H27" s="25">
        <f t="shared" si="7"/>
        <v>0</v>
      </c>
      <c r="I27" s="70">
        <f t="shared" si="7"/>
        <v>0</v>
      </c>
      <c r="J27" s="25">
        <f t="shared" si="7"/>
        <v>0</v>
      </c>
      <c r="K27" s="70">
        <f t="shared" si="7"/>
        <v>0</v>
      </c>
      <c r="L27" s="25">
        <f t="shared" si="7"/>
        <v>18100</v>
      </c>
    </row>
    <row r="28" spans="1:12" ht="15">
      <c r="A28" s="18" t="s">
        <v>219</v>
      </c>
      <c r="B28" s="19" t="s">
        <v>220</v>
      </c>
      <c r="C28" s="14">
        <f t="shared" si="0"/>
        <v>371108</v>
      </c>
      <c r="D28" s="25">
        <f>306465+46543</f>
        <v>353008</v>
      </c>
      <c r="E28" s="67">
        <v>0</v>
      </c>
      <c r="F28" s="17">
        <v>0</v>
      </c>
      <c r="G28" s="67">
        <v>0</v>
      </c>
      <c r="H28" s="17">
        <v>0</v>
      </c>
      <c r="I28" s="67">
        <v>0</v>
      </c>
      <c r="J28" s="17">
        <v>0</v>
      </c>
      <c r="K28" s="67">
        <v>0</v>
      </c>
      <c r="L28" s="17">
        <v>18100</v>
      </c>
    </row>
    <row r="29" spans="1:12" ht="25.5">
      <c r="A29" s="12" t="s">
        <v>221</v>
      </c>
      <c r="B29" s="13" t="s">
        <v>222</v>
      </c>
      <c r="C29" s="14">
        <f t="shared" si="0"/>
        <v>960927</v>
      </c>
      <c r="D29" s="25">
        <f aca="true" t="shared" si="8" ref="D29:L29">SUM(D30:D31)</f>
        <v>344104</v>
      </c>
      <c r="E29" s="70">
        <f t="shared" si="8"/>
        <v>-49598</v>
      </c>
      <c r="F29" s="25">
        <f t="shared" si="8"/>
        <v>0</v>
      </c>
      <c r="G29" s="70">
        <f t="shared" si="8"/>
        <v>0</v>
      </c>
      <c r="H29" s="25">
        <f t="shared" si="8"/>
        <v>0</v>
      </c>
      <c r="I29" s="70">
        <f t="shared" si="8"/>
        <v>0</v>
      </c>
      <c r="J29" s="25">
        <f t="shared" si="8"/>
        <v>598280</v>
      </c>
      <c r="K29" s="66">
        <f t="shared" si="8"/>
        <v>68141</v>
      </c>
      <c r="L29" s="14">
        <f t="shared" si="8"/>
        <v>0</v>
      </c>
    </row>
    <row r="30" spans="1:12" ht="25.5">
      <c r="A30" s="18" t="s">
        <v>223</v>
      </c>
      <c r="B30" s="19" t="s">
        <v>224</v>
      </c>
      <c r="C30" s="14">
        <f t="shared" si="0"/>
        <v>960927</v>
      </c>
      <c r="D30" s="17">
        <v>344104</v>
      </c>
      <c r="E30" s="67">
        <v>-49598</v>
      </c>
      <c r="F30" s="17">
        <v>0</v>
      </c>
      <c r="G30" s="67">
        <v>0</v>
      </c>
      <c r="H30" s="17">
        <v>0</v>
      </c>
      <c r="I30" s="67">
        <v>0</v>
      </c>
      <c r="J30" s="17">
        <v>598280</v>
      </c>
      <c r="K30" s="67">
        <v>68141</v>
      </c>
      <c r="L30" s="20">
        <v>0</v>
      </c>
    </row>
    <row r="31" spans="1:12" ht="38.25" hidden="1">
      <c r="A31" s="27" t="s">
        <v>225</v>
      </c>
      <c r="B31" s="28" t="s">
        <v>226</v>
      </c>
      <c r="C31" s="68">
        <f t="shared" si="0"/>
        <v>0</v>
      </c>
      <c r="D31" s="29"/>
      <c r="E31" s="69"/>
      <c r="F31" s="29"/>
      <c r="G31" s="69"/>
      <c r="H31" s="29"/>
      <c r="I31" s="69"/>
      <c r="J31" s="29"/>
      <c r="K31" s="69"/>
      <c r="L31" s="29"/>
    </row>
    <row r="32" spans="1:12" ht="38.25">
      <c r="A32" s="12" t="s">
        <v>227</v>
      </c>
      <c r="B32" s="13" t="s">
        <v>228</v>
      </c>
      <c r="C32" s="25">
        <f t="shared" si="0"/>
        <v>76680</v>
      </c>
      <c r="D32" s="25">
        <f>D33</f>
        <v>115130</v>
      </c>
      <c r="E32" s="70">
        <f aca="true" t="shared" si="9" ref="E32:L32">E33</f>
        <v>-38450</v>
      </c>
      <c r="F32" s="25">
        <f t="shared" si="9"/>
        <v>0</v>
      </c>
      <c r="G32" s="70">
        <f t="shared" si="9"/>
        <v>0</v>
      </c>
      <c r="H32" s="25">
        <f t="shared" si="9"/>
        <v>0</v>
      </c>
      <c r="I32" s="70">
        <f t="shared" si="9"/>
        <v>0</v>
      </c>
      <c r="J32" s="25">
        <f t="shared" si="9"/>
        <v>0</v>
      </c>
      <c r="K32" s="70">
        <f t="shared" si="9"/>
        <v>0</v>
      </c>
      <c r="L32" s="25">
        <f t="shared" si="9"/>
        <v>0</v>
      </c>
    </row>
    <row r="33" spans="1:12" ht="15">
      <c r="A33" s="18" t="s">
        <v>229</v>
      </c>
      <c r="B33" s="19" t="s">
        <v>681</v>
      </c>
      <c r="C33" s="14">
        <f t="shared" si="0"/>
        <v>76680</v>
      </c>
      <c r="D33" s="17">
        <f>500000-78950-71230-234690</f>
        <v>115130</v>
      </c>
      <c r="E33" s="67">
        <f>-37950-500</f>
        <v>-38450</v>
      </c>
      <c r="F33" s="17">
        <v>0</v>
      </c>
      <c r="G33" s="67">
        <v>0</v>
      </c>
      <c r="H33" s="17">
        <v>0</v>
      </c>
      <c r="I33" s="67">
        <v>0</v>
      </c>
      <c r="J33" s="17">
        <v>0</v>
      </c>
      <c r="K33" s="67">
        <v>0</v>
      </c>
      <c r="L33" s="17">
        <v>0</v>
      </c>
    </row>
    <row r="34" spans="1:12" ht="15">
      <c r="A34" s="62" t="s">
        <v>162</v>
      </c>
      <c r="B34" s="63" t="s">
        <v>163</v>
      </c>
      <c r="C34" s="64">
        <f t="shared" si="0"/>
        <v>4182443</v>
      </c>
      <c r="D34" s="64">
        <f>D35+D38</f>
        <v>3766551</v>
      </c>
      <c r="E34" s="65">
        <f aca="true" t="shared" si="10" ref="E34:L34">E35+E38</f>
        <v>0</v>
      </c>
      <c r="F34" s="64">
        <f t="shared" si="10"/>
        <v>216557</v>
      </c>
      <c r="G34" s="65">
        <f t="shared" si="10"/>
        <v>0</v>
      </c>
      <c r="H34" s="64">
        <f t="shared" si="10"/>
        <v>92916</v>
      </c>
      <c r="I34" s="65">
        <f t="shared" si="10"/>
        <v>0</v>
      </c>
      <c r="J34" s="64">
        <f t="shared" si="10"/>
        <v>10950</v>
      </c>
      <c r="K34" s="65">
        <f t="shared" si="10"/>
        <v>0</v>
      </c>
      <c r="L34" s="64">
        <f t="shared" si="10"/>
        <v>95469</v>
      </c>
    </row>
    <row r="35" spans="1:12" ht="15">
      <c r="A35" s="12" t="s">
        <v>230</v>
      </c>
      <c r="B35" s="13" t="s">
        <v>231</v>
      </c>
      <c r="C35" s="25">
        <f t="shared" si="0"/>
        <v>3258124</v>
      </c>
      <c r="D35" s="25">
        <f>D36+D37</f>
        <v>2892286</v>
      </c>
      <c r="E35" s="70">
        <f>E36+E37</f>
        <v>0</v>
      </c>
      <c r="F35" s="25">
        <f aca="true" t="shared" si="11" ref="F35:L35">F36+F37</f>
        <v>216557</v>
      </c>
      <c r="G35" s="70">
        <f t="shared" si="11"/>
        <v>0</v>
      </c>
      <c r="H35" s="25">
        <f t="shared" si="11"/>
        <v>63093</v>
      </c>
      <c r="I35" s="70">
        <f t="shared" si="11"/>
        <v>0</v>
      </c>
      <c r="J35" s="25">
        <f t="shared" si="11"/>
        <v>0</v>
      </c>
      <c r="K35" s="70">
        <f t="shared" si="11"/>
        <v>0</v>
      </c>
      <c r="L35" s="25">
        <f t="shared" si="11"/>
        <v>86188</v>
      </c>
    </row>
    <row r="36" spans="1:12" ht="25.5">
      <c r="A36" s="18" t="s">
        <v>232</v>
      </c>
      <c r="B36" s="16" t="s">
        <v>643</v>
      </c>
      <c r="C36" s="14">
        <f aca="true" t="shared" si="12" ref="C36:C47">SUM(D36:L36)</f>
        <v>3258124</v>
      </c>
      <c r="D36" s="20">
        <f>2858031-37050+71305</f>
        <v>2892286</v>
      </c>
      <c r="E36" s="67">
        <v>0</v>
      </c>
      <c r="F36" s="17">
        <v>216557</v>
      </c>
      <c r="G36" s="67">
        <v>0</v>
      </c>
      <c r="H36" s="17">
        <f>15643+47450</f>
        <v>63093</v>
      </c>
      <c r="I36" s="67">
        <v>0</v>
      </c>
      <c r="J36" s="17">
        <v>0</v>
      </c>
      <c r="K36" s="67">
        <v>0</v>
      </c>
      <c r="L36" s="20">
        <v>86188</v>
      </c>
    </row>
    <row r="37" spans="1:12" ht="15" hidden="1">
      <c r="A37" s="27"/>
      <c r="B37" s="28"/>
      <c r="C37" s="68">
        <f>SUM(D37:L37)</f>
        <v>0</v>
      </c>
      <c r="D37" s="29"/>
      <c r="E37" s="69"/>
      <c r="F37" s="29"/>
      <c r="G37" s="69"/>
      <c r="H37" s="29"/>
      <c r="I37" s="69"/>
      <c r="J37" s="29"/>
      <c r="K37" s="69"/>
      <c r="L37" s="29"/>
    </row>
    <row r="38" spans="1:12" ht="25.5">
      <c r="A38" s="12" t="s">
        <v>233</v>
      </c>
      <c r="B38" s="13" t="s">
        <v>234</v>
      </c>
      <c r="C38" s="14">
        <f t="shared" si="12"/>
        <v>924319</v>
      </c>
      <c r="D38" s="14">
        <f aca="true" t="shared" si="13" ref="D38:L38">SUM(D39:D40)</f>
        <v>874265</v>
      </c>
      <c r="E38" s="66">
        <f t="shared" si="13"/>
        <v>0</v>
      </c>
      <c r="F38" s="14">
        <f t="shared" si="13"/>
        <v>0</v>
      </c>
      <c r="G38" s="66">
        <f t="shared" si="13"/>
        <v>0</v>
      </c>
      <c r="H38" s="14">
        <f t="shared" si="13"/>
        <v>29823</v>
      </c>
      <c r="I38" s="66">
        <f t="shared" si="13"/>
        <v>0</v>
      </c>
      <c r="J38" s="14">
        <f t="shared" si="13"/>
        <v>10950</v>
      </c>
      <c r="K38" s="66">
        <f t="shared" si="13"/>
        <v>0</v>
      </c>
      <c r="L38" s="14">
        <f t="shared" si="13"/>
        <v>9281</v>
      </c>
    </row>
    <row r="39" spans="1:12" ht="38.25">
      <c r="A39" s="18" t="s">
        <v>235</v>
      </c>
      <c r="B39" s="19" t="s">
        <v>644</v>
      </c>
      <c r="C39" s="14">
        <f t="shared" si="12"/>
        <v>407802</v>
      </c>
      <c r="D39" s="20">
        <f>388262+8590</f>
        <v>396852</v>
      </c>
      <c r="E39" s="67">
        <v>0</v>
      </c>
      <c r="F39" s="17">
        <v>0</v>
      </c>
      <c r="G39" s="67">
        <v>0</v>
      </c>
      <c r="H39" s="17">
        <v>0</v>
      </c>
      <c r="I39" s="67">
        <v>0</v>
      </c>
      <c r="J39" s="17">
        <v>10950</v>
      </c>
      <c r="K39" s="67">
        <v>0</v>
      </c>
      <c r="L39" s="17">
        <v>0</v>
      </c>
    </row>
    <row r="40" spans="1:12" ht="51">
      <c r="A40" s="72" t="s">
        <v>594</v>
      </c>
      <c r="B40" s="73" t="s">
        <v>595</v>
      </c>
      <c r="C40" s="14">
        <f>SUM(D40:L40)</f>
        <v>516517</v>
      </c>
      <c r="D40" s="115">
        <f>461413+16000</f>
        <v>477413</v>
      </c>
      <c r="E40" s="67">
        <v>0</v>
      </c>
      <c r="F40" s="17">
        <v>0</v>
      </c>
      <c r="G40" s="67">
        <v>0</v>
      </c>
      <c r="H40" s="115">
        <f>28345+1478</f>
        <v>29823</v>
      </c>
      <c r="I40" s="67">
        <v>0</v>
      </c>
      <c r="J40" s="17">
        <v>0</v>
      </c>
      <c r="K40" s="67">
        <v>0</v>
      </c>
      <c r="L40" s="115">
        <v>9281</v>
      </c>
    </row>
    <row r="41" spans="1:12" ht="15">
      <c r="A41" s="62" t="s">
        <v>164</v>
      </c>
      <c r="B41" s="63" t="s">
        <v>165</v>
      </c>
      <c r="C41" s="64">
        <f t="shared" si="12"/>
        <v>14997056</v>
      </c>
      <c r="D41" s="64">
        <f aca="true" t="shared" si="14" ref="D41:L41">D42+D48+D53+D58</f>
        <v>5288374</v>
      </c>
      <c r="E41" s="65">
        <f t="shared" si="14"/>
        <v>-57315</v>
      </c>
      <c r="F41" s="64">
        <f t="shared" si="14"/>
        <v>28031</v>
      </c>
      <c r="G41" s="65">
        <f t="shared" si="14"/>
        <v>0</v>
      </c>
      <c r="H41" s="64">
        <f t="shared" si="14"/>
        <v>6848449</v>
      </c>
      <c r="I41" s="65">
        <f t="shared" si="14"/>
        <v>0</v>
      </c>
      <c r="J41" s="64">
        <f t="shared" si="14"/>
        <v>25904</v>
      </c>
      <c r="K41" s="65">
        <f t="shared" si="14"/>
        <v>0</v>
      </c>
      <c r="L41" s="64">
        <f t="shared" si="14"/>
        <v>2863613</v>
      </c>
    </row>
    <row r="42" spans="1:12" ht="15">
      <c r="A42" s="12" t="s">
        <v>236</v>
      </c>
      <c r="B42" s="13" t="s">
        <v>237</v>
      </c>
      <c r="C42" s="14">
        <f>SUM(D42:L42)</f>
        <v>7714185</v>
      </c>
      <c r="D42" s="14">
        <f aca="true" t="shared" si="15" ref="D42:L42">SUM(D43:D47)</f>
        <v>3239978</v>
      </c>
      <c r="E42" s="66">
        <f t="shared" si="15"/>
        <v>-12837</v>
      </c>
      <c r="F42" s="14">
        <f t="shared" si="15"/>
        <v>0</v>
      </c>
      <c r="G42" s="66">
        <f t="shared" si="15"/>
        <v>0</v>
      </c>
      <c r="H42" s="14">
        <f t="shared" si="15"/>
        <v>2210139</v>
      </c>
      <c r="I42" s="66">
        <f t="shared" si="15"/>
        <v>0</v>
      </c>
      <c r="J42" s="14">
        <f t="shared" si="15"/>
        <v>0</v>
      </c>
      <c r="K42" s="66">
        <f t="shared" si="15"/>
        <v>0</v>
      </c>
      <c r="L42" s="14">
        <f t="shared" si="15"/>
        <v>2276905</v>
      </c>
    </row>
    <row r="43" spans="1:12" ht="38.25">
      <c r="A43" s="18" t="s">
        <v>238</v>
      </c>
      <c r="B43" s="19" t="s">
        <v>239</v>
      </c>
      <c r="C43" s="14">
        <f t="shared" si="12"/>
        <v>1998423</v>
      </c>
      <c r="D43" s="20">
        <f>438673+120000+49394</f>
        <v>608067</v>
      </c>
      <c r="E43" s="67">
        <v>0</v>
      </c>
      <c r="F43" s="17">
        <v>0</v>
      </c>
      <c r="G43" s="67">
        <v>0</v>
      </c>
      <c r="H43" s="17">
        <v>1373866</v>
      </c>
      <c r="I43" s="67">
        <v>0</v>
      </c>
      <c r="J43" s="17">
        <v>0</v>
      </c>
      <c r="K43" s="67">
        <v>0</v>
      </c>
      <c r="L43" s="17">
        <v>16490</v>
      </c>
    </row>
    <row r="44" spans="1:12" ht="38.25">
      <c r="A44" s="18" t="s">
        <v>240</v>
      </c>
      <c r="B44" s="16" t="s">
        <v>596</v>
      </c>
      <c r="C44" s="14">
        <f t="shared" si="12"/>
        <v>3364873</v>
      </c>
      <c r="D44" s="20">
        <v>268185</v>
      </c>
      <c r="E44" s="67">
        <v>0</v>
      </c>
      <c r="F44" s="17">
        <v>0</v>
      </c>
      <c r="G44" s="67">
        <v>0</v>
      </c>
      <c r="H44" s="17">
        <f>709299+126974</f>
        <v>836273</v>
      </c>
      <c r="I44" s="67">
        <v>0</v>
      </c>
      <c r="J44" s="17">
        <v>0</v>
      </c>
      <c r="K44" s="67">
        <v>0</v>
      </c>
      <c r="L44" s="20">
        <v>2260415</v>
      </c>
    </row>
    <row r="45" spans="1:12" ht="51">
      <c r="A45" s="15" t="s">
        <v>243</v>
      </c>
      <c r="B45" s="16" t="s">
        <v>244</v>
      </c>
      <c r="C45" s="14">
        <f t="shared" si="12"/>
        <v>15626</v>
      </c>
      <c r="D45" s="17">
        <f>26639-11013</f>
        <v>15626</v>
      </c>
      <c r="E45" s="67">
        <v>0</v>
      </c>
      <c r="F45" s="17">
        <v>0</v>
      </c>
      <c r="G45" s="67">
        <v>0</v>
      </c>
      <c r="H45" s="17">
        <v>0</v>
      </c>
      <c r="I45" s="67">
        <v>0</v>
      </c>
      <c r="J45" s="17">
        <v>0</v>
      </c>
      <c r="K45" s="67">
        <v>0</v>
      </c>
      <c r="L45" s="17">
        <v>0</v>
      </c>
    </row>
    <row r="46" spans="1:12" ht="25.5">
      <c r="A46" s="15" t="s">
        <v>662</v>
      </c>
      <c r="B46" s="16" t="s">
        <v>663</v>
      </c>
      <c r="C46" s="14">
        <f t="shared" si="12"/>
        <v>1609429</v>
      </c>
      <c r="D46" s="17">
        <f>1316329+283000+10100</f>
        <v>1609429</v>
      </c>
      <c r="E46" s="67">
        <v>0</v>
      </c>
      <c r="F46" s="17">
        <v>0</v>
      </c>
      <c r="G46" s="67">
        <v>0</v>
      </c>
      <c r="H46" s="17">
        <v>0</v>
      </c>
      <c r="I46" s="67">
        <v>0</v>
      </c>
      <c r="J46" s="17">
        <v>0</v>
      </c>
      <c r="K46" s="67">
        <v>0</v>
      </c>
      <c r="L46" s="17">
        <v>0</v>
      </c>
    </row>
    <row r="47" spans="1:12" ht="63.75">
      <c r="A47" s="15" t="s">
        <v>682</v>
      </c>
      <c r="B47" s="16" t="s">
        <v>683</v>
      </c>
      <c r="C47" s="14">
        <f t="shared" si="12"/>
        <v>725834</v>
      </c>
      <c r="D47" s="17">
        <f>750000+11300-22629</f>
        <v>738671</v>
      </c>
      <c r="E47" s="67">
        <v>-12837</v>
      </c>
      <c r="F47" s="17">
        <v>0</v>
      </c>
      <c r="G47" s="67">
        <v>0</v>
      </c>
      <c r="H47" s="17">
        <v>0</v>
      </c>
      <c r="I47" s="67">
        <v>0</v>
      </c>
      <c r="J47" s="17">
        <v>0</v>
      </c>
      <c r="K47" s="67">
        <v>0</v>
      </c>
      <c r="L47" s="17">
        <v>0</v>
      </c>
    </row>
    <row r="48" spans="1:12" ht="15">
      <c r="A48" s="12" t="s">
        <v>245</v>
      </c>
      <c r="B48" s="13" t="s">
        <v>246</v>
      </c>
      <c r="C48" s="14">
        <f aca="true" t="shared" si="16" ref="C48:C59">SUM(D48:L48)</f>
        <v>3720411</v>
      </c>
      <c r="D48" s="14">
        <f aca="true" t="shared" si="17" ref="D48:L48">SUM(D49:D52)</f>
        <v>1934365</v>
      </c>
      <c r="E48" s="70">
        <f t="shared" si="17"/>
        <v>-44478</v>
      </c>
      <c r="F48" s="25">
        <f t="shared" si="17"/>
        <v>28031</v>
      </c>
      <c r="G48" s="70">
        <f t="shared" si="17"/>
        <v>0</v>
      </c>
      <c r="H48" s="25">
        <f t="shared" si="17"/>
        <v>1443310</v>
      </c>
      <c r="I48" s="70">
        <f t="shared" si="17"/>
        <v>0</v>
      </c>
      <c r="J48" s="25">
        <f t="shared" si="17"/>
        <v>25904</v>
      </c>
      <c r="K48" s="70">
        <f t="shared" si="17"/>
        <v>0</v>
      </c>
      <c r="L48" s="14">
        <f t="shared" si="17"/>
        <v>333279</v>
      </c>
    </row>
    <row r="49" spans="1:12" ht="25.5">
      <c r="A49" s="18" t="s">
        <v>247</v>
      </c>
      <c r="B49" s="19" t="s">
        <v>248</v>
      </c>
      <c r="C49" s="14">
        <f t="shared" si="16"/>
        <v>572892</v>
      </c>
      <c r="D49" s="20">
        <f>512663+9027</f>
        <v>521690</v>
      </c>
      <c r="E49" s="67">
        <v>0</v>
      </c>
      <c r="F49" s="17">
        <v>25200</v>
      </c>
      <c r="G49" s="67">
        <v>0</v>
      </c>
      <c r="H49" s="17">
        <v>0</v>
      </c>
      <c r="I49" s="67">
        <v>0</v>
      </c>
      <c r="J49" s="17">
        <f>24000+1904</f>
        <v>25904</v>
      </c>
      <c r="K49" s="67">
        <v>0</v>
      </c>
      <c r="L49" s="20">
        <v>98</v>
      </c>
    </row>
    <row r="50" spans="1:12" ht="63.75">
      <c r="A50" s="15" t="s">
        <v>249</v>
      </c>
      <c r="B50" s="16" t="s">
        <v>250</v>
      </c>
      <c r="C50" s="14">
        <f t="shared" si="16"/>
        <v>907538</v>
      </c>
      <c r="D50" s="20">
        <v>577583</v>
      </c>
      <c r="E50" s="67">
        <v>0</v>
      </c>
      <c r="F50" s="17">
        <v>2831</v>
      </c>
      <c r="G50" s="67">
        <v>0</v>
      </c>
      <c r="H50" s="17">
        <v>174781</v>
      </c>
      <c r="I50" s="67">
        <v>0</v>
      </c>
      <c r="J50" s="17">
        <v>0</v>
      </c>
      <c r="K50" s="67">
        <v>0</v>
      </c>
      <c r="L50" s="20">
        <v>152343</v>
      </c>
    </row>
    <row r="51" spans="1:12" ht="51">
      <c r="A51" s="15" t="s">
        <v>598</v>
      </c>
      <c r="B51" s="16" t="s">
        <v>684</v>
      </c>
      <c r="C51" s="25">
        <f>SUM(D51:L51)</f>
        <v>662683</v>
      </c>
      <c r="D51" s="17">
        <v>281563</v>
      </c>
      <c r="E51" s="67">
        <v>-44478</v>
      </c>
      <c r="F51" s="17">
        <v>0</v>
      </c>
      <c r="G51" s="67">
        <v>0</v>
      </c>
      <c r="H51" s="17">
        <v>421095</v>
      </c>
      <c r="I51" s="67">
        <v>0</v>
      </c>
      <c r="J51" s="17">
        <v>0</v>
      </c>
      <c r="K51" s="67">
        <v>0</v>
      </c>
      <c r="L51" s="17">
        <v>4503</v>
      </c>
    </row>
    <row r="52" spans="1:12" ht="38.25">
      <c r="A52" s="15" t="s">
        <v>599</v>
      </c>
      <c r="B52" s="16" t="s">
        <v>597</v>
      </c>
      <c r="C52" s="25">
        <f t="shared" si="16"/>
        <v>1577298</v>
      </c>
      <c r="D52" s="17">
        <f>558810-5281</f>
        <v>553529</v>
      </c>
      <c r="E52" s="67">
        <v>0</v>
      </c>
      <c r="F52" s="17">
        <v>0</v>
      </c>
      <c r="G52" s="67">
        <v>0</v>
      </c>
      <c r="H52" s="17">
        <v>847434</v>
      </c>
      <c r="I52" s="67">
        <v>0</v>
      </c>
      <c r="J52" s="17">
        <v>0</v>
      </c>
      <c r="K52" s="67">
        <v>0</v>
      </c>
      <c r="L52" s="17">
        <v>176335</v>
      </c>
    </row>
    <row r="53" spans="1:12" ht="15">
      <c r="A53" s="23" t="s">
        <v>251</v>
      </c>
      <c r="B53" s="24" t="s">
        <v>252</v>
      </c>
      <c r="C53" s="25">
        <f>SUM(D53:L53)</f>
        <v>3460160</v>
      </c>
      <c r="D53" s="25">
        <f aca="true" t="shared" si="18" ref="D53:L53">SUM(D54:D57)</f>
        <v>11731</v>
      </c>
      <c r="E53" s="70">
        <f t="shared" si="18"/>
        <v>0</v>
      </c>
      <c r="F53" s="25">
        <f t="shared" si="18"/>
        <v>0</v>
      </c>
      <c r="G53" s="70">
        <f t="shared" si="18"/>
        <v>0</v>
      </c>
      <c r="H53" s="25">
        <f t="shared" si="18"/>
        <v>3195000</v>
      </c>
      <c r="I53" s="70">
        <f t="shared" si="18"/>
        <v>0</v>
      </c>
      <c r="J53" s="25">
        <f t="shared" si="18"/>
        <v>0</v>
      </c>
      <c r="K53" s="70">
        <f t="shared" si="18"/>
        <v>0</v>
      </c>
      <c r="L53" s="25">
        <f t="shared" si="18"/>
        <v>253429</v>
      </c>
    </row>
    <row r="54" spans="1:12" ht="25.5">
      <c r="A54" s="15" t="s">
        <v>627</v>
      </c>
      <c r="B54" s="16" t="s">
        <v>600</v>
      </c>
      <c r="C54" s="25">
        <f>SUM(D54:L54)</f>
        <v>3195000</v>
      </c>
      <c r="D54" s="17">
        <f>3298352-3298352</f>
        <v>0</v>
      </c>
      <c r="E54" s="67">
        <v>0</v>
      </c>
      <c r="F54" s="17">
        <v>0</v>
      </c>
      <c r="G54" s="67">
        <v>0</v>
      </c>
      <c r="H54" s="17">
        <v>3195000</v>
      </c>
      <c r="I54" s="67">
        <v>0</v>
      </c>
      <c r="J54" s="17">
        <v>0</v>
      </c>
      <c r="K54" s="67">
        <v>0</v>
      </c>
      <c r="L54" s="17">
        <v>0</v>
      </c>
    </row>
    <row r="55" spans="1:12" ht="25.5">
      <c r="A55" s="15" t="s">
        <v>628</v>
      </c>
      <c r="B55" s="16" t="s">
        <v>705</v>
      </c>
      <c r="C55" s="25">
        <f>SUM(D55:L55)</f>
        <v>115437</v>
      </c>
      <c r="D55" s="17">
        <v>0</v>
      </c>
      <c r="E55" s="67">
        <v>0</v>
      </c>
      <c r="F55" s="17">
        <v>0</v>
      </c>
      <c r="G55" s="67">
        <v>0</v>
      </c>
      <c r="H55" s="17">
        <v>0</v>
      </c>
      <c r="I55" s="67">
        <v>0</v>
      </c>
      <c r="J55" s="17">
        <v>0</v>
      </c>
      <c r="K55" s="67">
        <v>0</v>
      </c>
      <c r="L55" s="17">
        <v>115437</v>
      </c>
    </row>
    <row r="56" spans="1:12" ht="25.5">
      <c r="A56" s="109" t="s">
        <v>685</v>
      </c>
      <c r="B56" s="110" t="s">
        <v>686</v>
      </c>
      <c r="C56" s="25">
        <f>SUM(D56:L56)</f>
        <v>137992</v>
      </c>
      <c r="D56" s="17">
        <v>0</v>
      </c>
      <c r="E56" s="67">
        <v>0</v>
      </c>
      <c r="F56" s="17">
        <v>0</v>
      </c>
      <c r="G56" s="67">
        <v>0</v>
      </c>
      <c r="H56" s="17">
        <v>0</v>
      </c>
      <c r="I56" s="67">
        <v>0</v>
      </c>
      <c r="J56" s="17">
        <v>0</v>
      </c>
      <c r="K56" s="67">
        <v>0</v>
      </c>
      <c r="L56" s="17">
        <v>137992</v>
      </c>
    </row>
    <row r="57" spans="1:12" ht="51">
      <c r="A57" s="109" t="s">
        <v>775</v>
      </c>
      <c r="B57" s="110" t="s">
        <v>776</v>
      </c>
      <c r="C57" s="25">
        <f>SUM(D57:L57)</f>
        <v>11731</v>
      </c>
      <c r="D57" s="17">
        <f>11731</f>
        <v>11731</v>
      </c>
      <c r="E57" s="67">
        <v>0</v>
      </c>
      <c r="F57" s="17">
        <v>0</v>
      </c>
      <c r="G57" s="67">
        <v>0</v>
      </c>
      <c r="H57" s="17">
        <v>0</v>
      </c>
      <c r="I57" s="67">
        <v>0</v>
      </c>
      <c r="J57" s="17">
        <v>0</v>
      </c>
      <c r="K57" s="67">
        <v>0</v>
      </c>
      <c r="L57" s="17">
        <v>0</v>
      </c>
    </row>
    <row r="58" spans="1:12" ht="25.5">
      <c r="A58" s="12" t="s">
        <v>255</v>
      </c>
      <c r="B58" s="13" t="s">
        <v>256</v>
      </c>
      <c r="C58" s="14">
        <f t="shared" si="16"/>
        <v>102300</v>
      </c>
      <c r="D58" s="14">
        <f aca="true" t="shared" si="19" ref="D58:L58">SUM(D59:D61)</f>
        <v>102300</v>
      </c>
      <c r="E58" s="70">
        <f t="shared" si="19"/>
        <v>0</v>
      </c>
      <c r="F58" s="25">
        <f t="shared" si="19"/>
        <v>0</v>
      </c>
      <c r="G58" s="70">
        <f t="shared" si="19"/>
        <v>0</v>
      </c>
      <c r="H58" s="25">
        <f t="shared" si="19"/>
        <v>0</v>
      </c>
      <c r="I58" s="70">
        <f t="shared" si="19"/>
        <v>0</v>
      </c>
      <c r="J58" s="25">
        <f t="shared" si="19"/>
        <v>0</v>
      </c>
      <c r="K58" s="70">
        <f t="shared" si="19"/>
        <v>0</v>
      </c>
      <c r="L58" s="14">
        <f t="shared" si="19"/>
        <v>0</v>
      </c>
    </row>
    <row r="59" spans="1:12" ht="38.25">
      <c r="A59" s="18" t="s">
        <v>257</v>
      </c>
      <c r="B59" s="19" t="s">
        <v>258</v>
      </c>
      <c r="C59" s="14">
        <f t="shared" si="16"/>
        <v>42300</v>
      </c>
      <c r="D59" s="20">
        <f>52300-10000</f>
        <v>42300</v>
      </c>
      <c r="E59" s="67">
        <v>0</v>
      </c>
      <c r="F59" s="17">
        <v>0</v>
      </c>
      <c r="G59" s="67">
        <v>0</v>
      </c>
      <c r="H59" s="17">
        <v>0</v>
      </c>
      <c r="I59" s="67">
        <v>0</v>
      </c>
      <c r="J59" s="17">
        <v>0</v>
      </c>
      <c r="K59" s="67">
        <v>0</v>
      </c>
      <c r="L59" s="17">
        <v>0</v>
      </c>
    </row>
    <row r="60" spans="1:12" s="81" customFormat="1" ht="25.5">
      <c r="A60" s="15" t="s">
        <v>259</v>
      </c>
      <c r="B60" s="16" t="s">
        <v>260</v>
      </c>
      <c r="C60" s="25">
        <f aca="true" t="shared" si="20" ref="C60:C73">SUM(D60:L60)</f>
        <v>10000</v>
      </c>
      <c r="D60" s="17">
        <f>6679+3321</f>
        <v>10000</v>
      </c>
      <c r="E60" s="67">
        <v>0</v>
      </c>
      <c r="F60" s="17">
        <v>0</v>
      </c>
      <c r="G60" s="67">
        <v>0</v>
      </c>
      <c r="H60" s="17">
        <v>0</v>
      </c>
      <c r="I60" s="67">
        <v>0</v>
      </c>
      <c r="J60" s="17">
        <v>0</v>
      </c>
      <c r="K60" s="67">
        <v>0</v>
      </c>
      <c r="L60" s="17">
        <v>0</v>
      </c>
    </row>
    <row r="61" spans="1:12" ht="38.25">
      <c r="A61" s="18" t="s">
        <v>261</v>
      </c>
      <c r="B61" s="16" t="s">
        <v>262</v>
      </c>
      <c r="C61" s="14">
        <f t="shared" si="20"/>
        <v>50000</v>
      </c>
      <c r="D61" s="20">
        <v>50000</v>
      </c>
      <c r="E61" s="67">
        <v>0</v>
      </c>
      <c r="F61" s="17">
        <v>0</v>
      </c>
      <c r="G61" s="67">
        <v>0</v>
      </c>
      <c r="H61" s="17">
        <v>0</v>
      </c>
      <c r="I61" s="67">
        <v>0</v>
      </c>
      <c r="J61" s="17">
        <v>0</v>
      </c>
      <c r="K61" s="67">
        <v>0</v>
      </c>
      <c r="L61" s="17">
        <v>0</v>
      </c>
    </row>
    <row r="62" spans="1:12" ht="15">
      <c r="A62" s="62" t="s">
        <v>166</v>
      </c>
      <c r="B62" s="63" t="s">
        <v>167</v>
      </c>
      <c r="C62" s="64">
        <f t="shared" si="20"/>
        <v>2859834</v>
      </c>
      <c r="D62" s="64">
        <f>D63+D66+D68+D71</f>
        <v>2256753</v>
      </c>
      <c r="E62" s="65">
        <f>E63+E66+E68+E71</f>
        <v>0</v>
      </c>
      <c r="F62" s="64">
        <f aca="true" t="shared" si="21" ref="F62:L62">F63+F66+F68+F71</f>
        <v>0</v>
      </c>
      <c r="G62" s="65">
        <f t="shared" si="21"/>
        <v>0</v>
      </c>
      <c r="H62" s="64">
        <f t="shared" si="21"/>
        <v>0</v>
      </c>
      <c r="I62" s="65">
        <f t="shared" si="21"/>
        <v>0</v>
      </c>
      <c r="J62" s="64">
        <f t="shared" si="21"/>
        <v>0</v>
      </c>
      <c r="K62" s="65">
        <f t="shared" si="21"/>
        <v>0</v>
      </c>
      <c r="L62" s="64">
        <f t="shared" si="21"/>
        <v>603081</v>
      </c>
    </row>
    <row r="63" spans="1:12" ht="15">
      <c r="A63" s="12" t="s">
        <v>263</v>
      </c>
      <c r="B63" s="13" t="s">
        <v>264</v>
      </c>
      <c r="C63" s="14">
        <f t="shared" si="20"/>
        <v>2108130</v>
      </c>
      <c r="D63" s="14">
        <f>SUM(D64:D65)</f>
        <v>1524428</v>
      </c>
      <c r="E63" s="66">
        <f aca="true" t="shared" si="22" ref="E63:L63">SUM(E64:E65)</f>
        <v>0</v>
      </c>
      <c r="F63" s="14">
        <f t="shared" si="22"/>
        <v>0</v>
      </c>
      <c r="G63" s="66">
        <f t="shared" si="22"/>
        <v>0</v>
      </c>
      <c r="H63" s="14">
        <f t="shared" si="22"/>
        <v>0</v>
      </c>
      <c r="I63" s="66">
        <f t="shared" si="22"/>
        <v>0</v>
      </c>
      <c r="J63" s="14">
        <f t="shared" si="22"/>
        <v>0</v>
      </c>
      <c r="K63" s="66">
        <f t="shared" si="22"/>
        <v>0</v>
      </c>
      <c r="L63" s="14">
        <f t="shared" si="22"/>
        <v>583702</v>
      </c>
    </row>
    <row r="64" spans="1:12" ht="38.25">
      <c r="A64" s="18" t="s">
        <v>265</v>
      </c>
      <c r="B64" s="19" t="s">
        <v>266</v>
      </c>
      <c r="C64" s="14">
        <f t="shared" si="20"/>
        <v>1524428</v>
      </c>
      <c r="D64" s="20">
        <v>1524428</v>
      </c>
      <c r="E64" s="67">
        <v>0</v>
      </c>
      <c r="F64" s="17">
        <v>0</v>
      </c>
      <c r="G64" s="118">
        <v>0</v>
      </c>
      <c r="H64" s="17">
        <v>0</v>
      </c>
      <c r="I64" s="118">
        <v>0</v>
      </c>
      <c r="J64" s="17">
        <v>0</v>
      </c>
      <c r="K64" s="118">
        <v>0</v>
      </c>
      <c r="L64" s="17">
        <v>0</v>
      </c>
    </row>
    <row r="65" spans="1:12" ht="15">
      <c r="A65" s="18" t="s">
        <v>267</v>
      </c>
      <c r="B65" s="19" t="s">
        <v>687</v>
      </c>
      <c r="C65" s="14">
        <f t="shared" si="20"/>
        <v>583702</v>
      </c>
      <c r="D65" s="20">
        <v>0</v>
      </c>
      <c r="E65" s="67">
        <v>0</v>
      </c>
      <c r="F65" s="17">
        <v>0</v>
      </c>
      <c r="G65" s="67">
        <v>0</v>
      </c>
      <c r="H65" s="17">
        <v>0</v>
      </c>
      <c r="I65" s="67">
        <v>0</v>
      </c>
      <c r="J65" s="17">
        <v>0</v>
      </c>
      <c r="K65" s="67">
        <v>0</v>
      </c>
      <c r="L65" s="17">
        <v>583702</v>
      </c>
    </row>
    <row r="66" spans="1:12" ht="15">
      <c r="A66" s="12" t="s">
        <v>268</v>
      </c>
      <c r="B66" s="13" t="s">
        <v>269</v>
      </c>
      <c r="C66" s="25">
        <f>SUM(D66:L66)</f>
        <v>623399</v>
      </c>
      <c r="D66" s="25">
        <f>D67</f>
        <v>623399</v>
      </c>
      <c r="E66" s="70">
        <f aca="true" t="shared" si="23" ref="E66:L66">E67</f>
        <v>0</v>
      </c>
      <c r="F66" s="25">
        <f t="shared" si="23"/>
        <v>0</v>
      </c>
      <c r="G66" s="70">
        <f t="shared" si="23"/>
        <v>0</v>
      </c>
      <c r="H66" s="25">
        <f t="shared" si="23"/>
        <v>0</v>
      </c>
      <c r="I66" s="70">
        <f t="shared" si="23"/>
        <v>0</v>
      </c>
      <c r="J66" s="25">
        <f t="shared" si="23"/>
        <v>0</v>
      </c>
      <c r="K66" s="70">
        <f t="shared" si="23"/>
        <v>0</v>
      </c>
      <c r="L66" s="25">
        <f t="shared" si="23"/>
        <v>0</v>
      </c>
    </row>
    <row r="67" spans="1:12" ht="15">
      <c r="A67" s="18" t="s">
        <v>270</v>
      </c>
      <c r="B67" s="19" t="s">
        <v>269</v>
      </c>
      <c r="C67" s="14">
        <f t="shared" si="20"/>
        <v>623399</v>
      </c>
      <c r="D67" s="20">
        <f>556544+66855</f>
        <v>623399</v>
      </c>
      <c r="E67" s="67">
        <v>0</v>
      </c>
      <c r="F67" s="17">
        <v>0</v>
      </c>
      <c r="G67" s="67">
        <v>0</v>
      </c>
      <c r="H67" s="17">
        <v>0</v>
      </c>
      <c r="I67" s="67">
        <v>0</v>
      </c>
      <c r="J67" s="17">
        <v>0</v>
      </c>
      <c r="K67" s="67">
        <v>0</v>
      </c>
      <c r="L67" s="17">
        <v>0</v>
      </c>
    </row>
    <row r="68" spans="1:12" ht="25.5">
      <c r="A68" s="23" t="s">
        <v>271</v>
      </c>
      <c r="B68" s="24" t="s">
        <v>272</v>
      </c>
      <c r="C68" s="25">
        <f>SUM(D68:L68)</f>
        <v>128305</v>
      </c>
      <c r="D68" s="25">
        <f aca="true" t="shared" si="24" ref="D68:L68">SUM(D69:D70)</f>
        <v>108926</v>
      </c>
      <c r="E68" s="70">
        <f t="shared" si="24"/>
        <v>0</v>
      </c>
      <c r="F68" s="25">
        <f t="shared" si="24"/>
        <v>0</v>
      </c>
      <c r="G68" s="70">
        <f t="shared" si="24"/>
        <v>0</v>
      </c>
      <c r="H68" s="25">
        <f t="shared" si="24"/>
        <v>0</v>
      </c>
      <c r="I68" s="70">
        <f t="shared" si="24"/>
        <v>0</v>
      </c>
      <c r="J68" s="25">
        <f t="shared" si="24"/>
        <v>0</v>
      </c>
      <c r="K68" s="70">
        <f t="shared" si="24"/>
        <v>0</v>
      </c>
      <c r="L68" s="25">
        <f t="shared" si="24"/>
        <v>19379</v>
      </c>
    </row>
    <row r="69" spans="1:12" ht="38.25">
      <c r="A69" s="15" t="s">
        <v>273</v>
      </c>
      <c r="B69" s="16" t="s">
        <v>601</v>
      </c>
      <c r="C69" s="25">
        <f>SUM(D69:L69)</f>
        <v>128305</v>
      </c>
      <c r="D69" s="17">
        <f>107000+1926</f>
        <v>108926</v>
      </c>
      <c r="E69" s="67">
        <v>0</v>
      </c>
      <c r="F69" s="17">
        <v>0</v>
      </c>
      <c r="G69" s="67">
        <v>0</v>
      </c>
      <c r="H69" s="17">
        <v>0</v>
      </c>
      <c r="I69" s="67">
        <v>0</v>
      </c>
      <c r="J69" s="17">
        <v>0</v>
      </c>
      <c r="K69" s="67">
        <v>0</v>
      </c>
      <c r="L69" s="17">
        <v>19379</v>
      </c>
    </row>
    <row r="70" spans="1:12" ht="15" hidden="1">
      <c r="A70" s="366"/>
      <c r="B70" s="367"/>
      <c r="C70" s="368">
        <f t="shared" si="20"/>
        <v>0</v>
      </c>
      <c r="D70" s="369"/>
      <c r="E70" s="370"/>
      <c r="F70" s="369"/>
      <c r="G70" s="370"/>
      <c r="H70" s="369"/>
      <c r="I70" s="370"/>
      <c r="J70" s="369"/>
      <c r="K70" s="370"/>
      <c r="L70" s="369"/>
    </row>
    <row r="71" spans="1:12" ht="25.5" hidden="1">
      <c r="A71" s="371" t="s">
        <v>274</v>
      </c>
      <c r="B71" s="372" t="s">
        <v>275</v>
      </c>
      <c r="C71" s="368">
        <f t="shared" si="20"/>
        <v>0</v>
      </c>
      <c r="D71" s="368">
        <f>SUM(D72:D73)</f>
        <v>0</v>
      </c>
      <c r="E71" s="373">
        <f aca="true" t="shared" si="25" ref="E71:L71">SUM(E72:E73)</f>
        <v>0</v>
      </c>
      <c r="F71" s="368">
        <f t="shared" si="25"/>
        <v>0</v>
      </c>
      <c r="G71" s="373">
        <f t="shared" si="25"/>
        <v>0</v>
      </c>
      <c r="H71" s="368">
        <f t="shared" si="25"/>
        <v>0</v>
      </c>
      <c r="I71" s="373">
        <f t="shared" si="25"/>
        <v>0</v>
      </c>
      <c r="J71" s="368">
        <f t="shared" si="25"/>
        <v>0</v>
      </c>
      <c r="K71" s="373">
        <f t="shared" si="25"/>
        <v>0</v>
      </c>
      <c r="L71" s="368">
        <f t="shared" si="25"/>
        <v>0</v>
      </c>
    </row>
    <row r="72" spans="1:12" ht="15" hidden="1">
      <c r="A72" s="366"/>
      <c r="B72" s="367"/>
      <c r="C72" s="374">
        <f>SUM(D72:L72)</f>
        <v>0</v>
      </c>
      <c r="D72" s="375"/>
      <c r="E72" s="376"/>
      <c r="F72" s="369"/>
      <c r="G72" s="376"/>
      <c r="H72" s="369"/>
      <c r="I72" s="376"/>
      <c r="J72" s="369"/>
      <c r="K72" s="376"/>
      <c r="L72" s="375"/>
    </row>
    <row r="73" spans="1:12" ht="15" hidden="1">
      <c r="A73" s="366"/>
      <c r="B73" s="367"/>
      <c r="C73" s="374">
        <f t="shared" si="20"/>
        <v>0</v>
      </c>
      <c r="D73" s="375"/>
      <c r="E73" s="370"/>
      <c r="F73" s="369"/>
      <c r="G73" s="370"/>
      <c r="H73" s="369"/>
      <c r="I73" s="370"/>
      <c r="J73" s="369"/>
      <c r="K73" s="370"/>
      <c r="L73" s="369"/>
    </row>
    <row r="74" spans="1:12" ht="15">
      <c r="A74" s="62" t="s">
        <v>168</v>
      </c>
      <c r="B74" s="63" t="s">
        <v>169</v>
      </c>
      <c r="C74" s="64">
        <f aca="true" t="shared" si="26" ref="C74:C83">SUM(D74:L74)</f>
        <v>4249495</v>
      </c>
      <c r="D74" s="64">
        <f>D75+D77+D79+D82</f>
        <v>3906640</v>
      </c>
      <c r="E74" s="65">
        <f aca="true" t="shared" si="27" ref="E74:L74">E75+E77+E79+E82</f>
        <v>5060</v>
      </c>
      <c r="F74" s="64">
        <f t="shared" si="27"/>
        <v>125344</v>
      </c>
      <c r="G74" s="65">
        <f t="shared" si="27"/>
        <v>0</v>
      </c>
      <c r="H74" s="64">
        <f t="shared" si="27"/>
        <v>28457</v>
      </c>
      <c r="I74" s="65">
        <f t="shared" si="27"/>
        <v>0</v>
      </c>
      <c r="J74" s="64">
        <f t="shared" si="27"/>
        <v>4871</v>
      </c>
      <c r="K74" s="65">
        <f t="shared" si="27"/>
        <v>0</v>
      </c>
      <c r="L74" s="64">
        <f t="shared" si="27"/>
        <v>179123</v>
      </c>
    </row>
    <row r="75" spans="1:12" ht="15" hidden="1">
      <c r="A75" s="85" t="s">
        <v>630</v>
      </c>
      <c r="B75" s="86" t="s">
        <v>629</v>
      </c>
      <c r="C75" s="68">
        <f>SUM(D75:L75)</f>
        <v>0</v>
      </c>
      <c r="D75" s="68">
        <f>D76</f>
        <v>0</v>
      </c>
      <c r="E75" s="114">
        <f aca="true" t="shared" si="28" ref="E75:L77">E76</f>
        <v>0</v>
      </c>
      <c r="F75" s="68">
        <f t="shared" si="28"/>
        <v>0</v>
      </c>
      <c r="G75" s="114">
        <f t="shared" si="28"/>
        <v>0</v>
      </c>
      <c r="H75" s="68">
        <f t="shared" si="28"/>
        <v>0</v>
      </c>
      <c r="I75" s="114">
        <f t="shared" si="28"/>
        <v>0</v>
      </c>
      <c r="J75" s="68">
        <f t="shared" si="28"/>
        <v>0</v>
      </c>
      <c r="K75" s="114">
        <f t="shared" si="28"/>
        <v>0</v>
      </c>
      <c r="L75" s="68">
        <f t="shared" si="28"/>
        <v>0</v>
      </c>
    </row>
    <row r="76" spans="1:12" ht="38.25" hidden="1">
      <c r="A76" s="27" t="s">
        <v>631</v>
      </c>
      <c r="B76" s="28" t="s">
        <v>632</v>
      </c>
      <c r="C76" s="68">
        <f>SUM(D76:L76)</f>
        <v>0</v>
      </c>
      <c r="D76" s="29"/>
      <c r="E76" s="69"/>
      <c r="F76" s="29"/>
      <c r="G76" s="69"/>
      <c r="H76" s="29"/>
      <c r="I76" s="69"/>
      <c r="J76" s="29"/>
      <c r="K76" s="69"/>
      <c r="L76" s="29"/>
    </row>
    <row r="77" spans="1:12" ht="15">
      <c r="A77" s="12" t="s">
        <v>276</v>
      </c>
      <c r="B77" s="13" t="s">
        <v>277</v>
      </c>
      <c r="C77" s="25">
        <f t="shared" si="26"/>
        <v>494171</v>
      </c>
      <c r="D77" s="25">
        <f>D78</f>
        <v>494840</v>
      </c>
      <c r="E77" s="70">
        <f t="shared" si="28"/>
        <v>-5540</v>
      </c>
      <c r="F77" s="25">
        <f t="shared" si="28"/>
        <v>0</v>
      </c>
      <c r="G77" s="70">
        <f t="shared" si="28"/>
        <v>0</v>
      </c>
      <c r="H77" s="25">
        <f t="shared" si="28"/>
        <v>0</v>
      </c>
      <c r="I77" s="70">
        <f t="shared" si="28"/>
        <v>0</v>
      </c>
      <c r="J77" s="25">
        <f t="shared" si="28"/>
        <v>4871</v>
      </c>
      <c r="K77" s="70">
        <f t="shared" si="28"/>
        <v>0</v>
      </c>
      <c r="L77" s="25">
        <f t="shared" si="28"/>
        <v>0</v>
      </c>
    </row>
    <row r="78" spans="1:12" ht="25.5">
      <c r="A78" s="18" t="s">
        <v>278</v>
      </c>
      <c r="B78" s="19" t="s">
        <v>279</v>
      </c>
      <c r="C78" s="14">
        <f t="shared" si="26"/>
        <v>494171</v>
      </c>
      <c r="D78" s="20">
        <f>581093+8747-95000</f>
        <v>494840</v>
      </c>
      <c r="E78" s="67">
        <v>-5540</v>
      </c>
      <c r="F78" s="17">
        <v>0</v>
      </c>
      <c r="G78" s="67">
        <v>0</v>
      </c>
      <c r="H78" s="17">
        <v>0</v>
      </c>
      <c r="I78" s="67">
        <v>0</v>
      </c>
      <c r="J78" s="17">
        <v>4871</v>
      </c>
      <c r="K78" s="67">
        <v>0</v>
      </c>
      <c r="L78" s="17">
        <v>0</v>
      </c>
    </row>
    <row r="79" spans="1:12" ht="15">
      <c r="A79" s="12" t="s">
        <v>280</v>
      </c>
      <c r="B79" s="13" t="s">
        <v>281</v>
      </c>
      <c r="C79" s="25">
        <f t="shared" si="26"/>
        <v>642694</v>
      </c>
      <c r="D79" s="25">
        <f>D80+D81</f>
        <v>647494</v>
      </c>
      <c r="E79" s="70">
        <f aca="true" t="shared" si="29" ref="E79:L79">E80+E81</f>
        <v>-4800</v>
      </c>
      <c r="F79" s="25">
        <f t="shared" si="29"/>
        <v>0</v>
      </c>
      <c r="G79" s="70">
        <f t="shared" si="29"/>
        <v>0</v>
      </c>
      <c r="H79" s="25">
        <f t="shared" si="29"/>
        <v>0</v>
      </c>
      <c r="I79" s="70">
        <f t="shared" si="29"/>
        <v>0</v>
      </c>
      <c r="J79" s="25">
        <f t="shared" si="29"/>
        <v>0</v>
      </c>
      <c r="K79" s="70">
        <f t="shared" si="29"/>
        <v>0</v>
      </c>
      <c r="L79" s="25">
        <f t="shared" si="29"/>
        <v>0</v>
      </c>
    </row>
    <row r="80" spans="1:12" ht="15">
      <c r="A80" s="18" t="s">
        <v>282</v>
      </c>
      <c r="B80" s="19" t="s">
        <v>281</v>
      </c>
      <c r="C80" s="14">
        <f t="shared" si="26"/>
        <v>642694</v>
      </c>
      <c r="D80" s="20">
        <f>700821-53327</f>
        <v>647494</v>
      </c>
      <c r="E80" s="67">
        <v>-4800</v>
      </c>
      <c r="F80" s="17">
        <v>0</v>
      </c>
      <c r="G80" s="67">
        <v>0</v>
      </c>
      <c r="H80" s="17">
        <v>0</v>
      </c>
      <c r="I80" s="67">
        <v>0</v>
      </c>
      <c r="J80" s="17">
        <v>0</v>
      </c>
      <c r="K80" s="67">
        <v>0</v>
      </c>
      <c r="L80" s="17">
        <v>0</v>
      </c>
    </row>
    <row r="81" spans="1:12" ht="15" hidden="1">
      <c r="A81" s="27"/>
      <c r="B81" s="28"/>
      <c r="C81" s="68">
        <f t="shared" si="26"/>
        <v>0</v>
      </c>
      <c r="D81" s="29"/>
      <c r="E81" s="69"/>
      <c r="F81" s="29"/>
      <c r="G81" s="69"/>
      <c r="H81" s="29"/>
      <c r="I81" s="69"/>
      <c r="J81" s="29"/>
      <c r="K81" s="69"/>
      <c r="L81" s="29"/>
    </row>
    <row r="82" spans="1:12" ht="25.5">
      <c r="A82" s="12" t="s">
        <v>283</v>
      </c>
      <c r="B82" s="13" t="s">
        <v>284</v>
      </c>
      <c r="C82" s="14">
        <f t="shared" si="26"/>
        <v>3112630</v>
      </c>
      <c r="D82" s="14">
        <f>SUM(D83:D89)</f>
        <v>2764306</v>
      </c>
      <c r="E82" s="70">
        <f aca="true" t="shared" si="30" ref="E82:L82">SUM(E83:E89)</f>
        <v>15400</v>
      </c>
      <c r="F82" s="25">
        <f t="shared" si="30"/>
        <v>125344</v>
      </c>
      <c r="G82" s="70">
        <f t="shared" si="30"/>
        <v>0</v>
      </c>
      <c r="H82" s="25">
        <f t="shared" si="30"/>
        <v>28457</v>
      </c>
      <c r="I82" s="70">
        <f t="shared" si="30"/>
        <v>0</v>
      </c>
      <c r="J82" s="14">
        <f t="shared" si="30"/>
        <v>0</v>
      </c>
      <c r="K82" s="66">
        <f t="shared" si="30"/>
        <v>0</v>
      </c>
      <c r="L82" s="14">
        <f t="shared" si="30"/>
        <v>179123</v>
      </c>
    </row>
    <row r="83" spans="1:12" ht="25.5">
      <c r="A83" s="18" t="s">
        <v>285</v>
      </c>
      <c r="B83" s="19" t="s">
        <v>286</v>
      </c>
      <c r="C83" s="14">
        <f t="shared" si="26"/>
        <v>980450</v>
      </c>
      <c r="D83" s="20">
        <f>863522+23850+17302</f>
        <v>904674</v>
      </c>
      <c r="E83" s="67">
        <v>0</v>
      </c>
      <c r="F83" s="17">
        <f>56124+17220</f>
        <v>73344</v>
      </c>
      <c r="G83" s="67">
        <v>0</v>
      </c>
      <c r="H83" s="17">
        <v>0</v>
      </c>
      <c r="I83" s="67">
        <v>0</v>
      </c>
      <c r="J83" s="17">
        <v>0</v>
      </c>
      <c r="K83" s="118">
        <v>0</v>
      </c>
      <c r="L83" s="20">
        <v>2432</v>
      </c>
    </row>
    <row r="84" spans="1:12" ht="25.5">
      <c r="A84" s="18" t="s">
        <v>287</v>
      </c>
      <c r="B84" s="19" t="s">
        <v>636</v>
      </c>
      <c r="C84" s="14">
        <f aca="true" t="shared" si="31" ref="C84:C89">SUM(D84:L84)</f>
        <v>1510206</v>
      </c>
      <c r="D84" s="20">
        <f>1449678+109750-84022</f>
        <v>1475406</v>
      </c>
      <c r="E84" s="67">
        <v>4800</v>
      </c>
      <c r="F84" s="17">
        <v>0</v>
      </c>
      <c r="G84" s="67">
        <v>0</v>
      </c>
      <c r="H84" s="17">
        <v>0</v>
      </c>
      <c r="I84" s="67">
        <v>0</v>
      </c>
      <c r="J84" s="17">
        <v>0</v>
      </c>
      <c r="K84" s="67">
        <v>0</v>
      </c>
      <c r="L84" s="17">
        <v>30000</v>
      </c>
    </row>
    <row r="85" spans="1:12" ht="25.5">
      <c r="A85" s="18" t="s">
        <v>288</v>
      </c>
      <c r="B85" s="19" t="s">
        <v>289</v>
      </c>
      <c r="C85" s="14">
        <f t="shared" si="31"/>
        <v>269967</v>
      </c>
      <c r="D85" s="20">
        <f>97402+46075</f>
        <v>143477</v>
      </c>
      <c r="E85" s="67">
        <v>0</v>
      </c>
      <c r="F85" s="17">
        <v>0</v>
      </c>
      <c r="G85" s="67">
        <v>0</v>
      </c>
      <c r="H85" s="17">
        <v>0</v>
      </c>
      <c r="I85" s="67">
        <v>0</v>
      </c>
      <c r="J85" s="17">
        <v>0</v>
      </c>
      <c r="K85" s="67">
        <v>0</v>
      </c>
      <c r="L85" s="17">
        <v>126490</v>
      </c>
    </row>
    <row r="86" spans="1:12" ht="25.5">
      <c r="A86" s="18" t="s">
        <v>290</v>
      </c>
      <c r="B86" s="19" t="s">
        <v>291</v>
      </c>
      <c r="C86" s="14">
        <f t="shared" si="31"/>
        <v>327207</v>
      </c>
      <c r="D86" s="20">
        <f>195949+20000</f>
        <v>215949</v>
      </c>
      <c r="E86" s="67">
        <v>10600</v>
      </c>
      <c r="F86" s="17">
        <v>52000</v>
      </c>
      <c r="G86" s="67">
        <v>0</v>
      </c>
      <c r="H86" s="17">
        <v>28457</v>
      </c>
      <c r="I86" s="67">
        <v>0</v>
      </c>
      <c r="J86" s="17">
        <v>0</v>
      </c>
      <c r="K86" s="118">
        <v>0</v>
      </c>
      <c r="L86" s="20">
        <v>20201</v>
      </c>
    </row>
    <row r="87" spans="1:12" ht="38.25">
      <c r="A87" s="18" t="s">
        <v>292</v>
      </c>
      <c r="B87" s="19" t="s">
        <v>293</v>
      </c>
      <c r="C87" s="14">
        <f t="shared" si="31"/>
        <v>10800</v>
      </c>
      <c r="D87" s="20">
        <v>10800</v>
      </c>
      <c r="E87" s="67">
        <v>0</v>
      </c>
      <c r="F87" s="17">
        <v>0</v>
      </c>
      <c r="G87" s="67">
        <v>0</v>
      </c>
      <c r="H87" s="17">
        <v>0</v>
      </c>
      <c r="I87" s="67">
        <v>0</v>
      </c>
      <c r="J87" s="17">
        <v>0</v>
      </c>
      <c r="K87" s="118">
        <v>0</v>
      </c>
      <c r="L87" s="17">
        <v>0</v>
      </c>
    </row>
    <row r="88" spans="1:12" ht="51">
      <c r="A88" s="18" t="s">
        <v>294</v>
      </c>
      <c r="B88" s="19" t="s">
        <v>295</v>
      </c>
      <c r="C88" s="14">
        <f t="shared" si="31"/>
        <v>14000</v>
      </c>
      <c r="D88" s="20">
        <v>14000</v>
      </c>
      <c r="E88" s="67">
        <v>0</v>
      </c>
      <c r="F88" s="17">
        <v>0</v>
      </c>
      <c r="G88" s="67">
        <v>0</v>
      </c>
      <c r="H88" s="17">
        <v>0</v>
      </c>
      <c r="I88" s="67">
        <v>0</v>
      </c>
      <c r="J88" s="17">
        <v>0</v>
      </c>
      <c r="K88" s="118">
        <v>0</v>
      </c>
      <c r="L88" s="17">
        <v>0</v>
      </c>
    </row>
    <row r="89" spans="1:12" ht="15" hidden="1">
      <c r="A89" s="366"/>
      <c r="B89" s="367"/>
      <c r="C89" s="368">
        <f t="shared" si="31"/>
        <v>0</v>
      </c>
      <c r="D89" s="369"/>
      <c r="E89" s="370"/>
      <c r="F89" s="369"/>
      <c r="G89" s="370"/>
      <c r="H89" s="369"/>
      <c r="I89" s="370"/>
      <c r="J89" s="369"/>
      <c r="K89" s="370"/>
      <c r="L89" s="369"/>
    </row>
    <row r="90" spans="1:12" ht="15">
      <c r="A90" s="62" t="s">
        <v>170</v>
      </c>
      <c r="B90" s="63" t="s">
        <v>171</v>
      </c>
      <c r="C90" s="64">
        <f aca="true" t="shared" si="32" ref="C90:C97">SUM(D90:L90)</f>
        <v>346887</v>
      </c>
      <c r="D90" s="64">
        <f aca="true" t="shared" si="33" ref="D90:K90">SUM(D91:D96)</f>
        <v>119476</v>
      </c>
      <c r="E90" s="65">
        <f t="shared" si="33"/>
        <v>6266</v>
      </c>
      <c r="F90" s="64">
        <f t="shared" si="33"/>
        <v>0</v>
      </c>
      <c r="G90" s="65">
        <f t="shared" si="33"/>
        <v>0</v>
      </c>
      <c r="H90" s="64">
        <f t="shared" si="33"/>
        <v>221145</v>
      </c>
      <c r="I90" s="65">
        <f t="shared" si="33"/>
        <v>0</v>
      </c>
      <c r="J90" s="64">
        <f t="shared" si="33"/>
        <v>0</v>
      </c>
      <c r="K90" s="65">
        <f t="shared" si="33"/>
        <v>0</v>
      </c>
      <c r="L90" s="64">
        <f>SUM(L91:L96)</f>
        <v>0</v>
      </c>
    </row>
    <row r="91" spans="1:12" ht="15">
      <c r="A91" s="18" t="s">
        <v>296</v>
      </c>
      <c r="B91" s="19" t="s">
        <v>297</v>
      </c>
      <c r="C91" s="14">
        <f t="shared" si="32"/>
        <v>71909</v>
      </c>
      <c r="D91" s="20">
        <v>68400</v>
      </c>
      <c r="E91" s="67">
        <v>800</v>
      </c>
      <c r="F91" s="17">
        <v>0</v>
      </c>
      <c r="G91" s="67">
        <v>0</v>
      </c>
      <c r="H91" s="17">
        <f>1709+1000</f>
        <v>2709</v>
      </c>
      <c r="I91" s="67">
        <v>0</v>
      </c>
      <c r="J91" s="17">
        <v>0</v>
      </c>
      <c r="K91" s="118">
        <v>0</v>
      </c>
      <c r="L91" s="17">
        <v>0</v>
      </c>
    </row>
    <row r="92" spans="1:12" ht="25.5">
      <c r="A92" s="18" t="s">
        <v>298</v>
      </c>
      <c r="B92" s="19" t="s">
        <v>299</v>
      </c>
      <c r="C92" s="14">
        <f t="shared" si="32"/>
        <v>15786</v>
      </c>
      <c r="D92" s="20">
        <v>10690</v>
      </c>
      <c r="E92" s="67">
        <v>3446</v>
      </c>
      <c r="F92" s="17">
        <v>0</v>
      </c>
      <c r="G92" s="67">
        <v>0</v>
      </c>
      <c r="H92" s="17">
        <f>150+1500</f>
        <v>1650</v>
      </c>
      <c r="I92" s="67">
        <v>0</v>
      </c>
      <c r="J92" s="17">
        <v>0</v>
      </c>
      <c r="K92" s="118">
        <v>0</v>
      </c>
      <c r="L92" s="17">
        <v>0</v>
      </c>
    </row>
    <row r="93" spans="1:12" ht="15">
      <c r="A93" s="18" t="s">
        <v>300</v>
      </c>
      <c r="B93" s="19" t="s">
        <v>301</v>
      </c>
      <c r="C93" s="14">
        <f t="shared" si="32"/>
        <v>29018</v>
      </c>
      <c r="D93" s="20">
        <v>26000</v>
      </c>
      <c r="E93" s="67">
        <v>2020</v>
      </c>
      <c r="F93" s="17">
        <v>0</v>
      </c>
      <c r="G93" s="67">
        <v>0</v>
      </c>
      <c r="H93" s="17">
        <f>498+500</f>
        <v>998</v>
      </c>
      <c r="I93" s="67">
        <v>0</v>
      </c>
      <c r="J93" s="17">
        <v>0</v>
      </c>
      <c r="K93" s="118">
        <v>0</v>
      </c>
      <c r="L93" s="17">
        <v>0</v>
      </c>
    </row>
    <row r="94" spans="1:12" ht="15">
      <c r="A94" s="18" t="s">
        <v>302</v>
      </c>
      <c r="B94" s="19" t="s">
        <v>303</v>
      </c>
      <c r="C94" s="14">
        <f t="shared" si="32"/>
        <v>4386</v>
      </c>
      <c r="D94" s="20">
        <v>4386</v>
      </c>
      <c r="E94" s="67">
        <v>0</v>
      </c>
      <c r="F94" s="17">
        <v>0</v>
      </c>
      <c r="G94" s="67">
        <v>0</v>
      </c>
      <c r="H94" s="17">
        <v>0</v>
      </c>
      <c r="I94" s="67">
        <v>0</v>
      </c>
      <c r="J94" s="17">
        <v>0</v>
      </c>
      <c r="K94" s="118">
        <v>0</v>
      </c>
      <c r="L94" s="17">
        <v>0</v>
      </c>
    </row>
    <row r="95" spans="1:12" ht="25.5">
      <c r="A95" s="18" t="s">
        <v>304</v>
      </c>
      <c r="B95" s="19" t="s">
        <v>673</v>
      </c>
      <c r="C95" s="14">
        <f t="shared" si="32"/>
        <v>215788</v>
      </c>
      <c r="D95" s="20">
        <f>30000-30000</f>
        <v>0</v>
      </c>
      <c r="E95" s="67">
        <v>0</v>
      </c>
      <c r="F95" s="17">
        <v>0</v>
      </c>
      <c r="G95" s="67">
        <v>0</v>
      </c>
      <c r="H95" s="17">
        <f>147673+68115</f>
        <v>215788</v>
      </c>
      <c r="I95" s="67">
        <v>0</v>
      </c>
      <c r="J95" s="17">
        <v>0</v>
      </c>
      <c r="K95" s="67">
        <v>0</v>
      </c>
      <c r="L95" s="20">
        <v>0</v>
      </c>
    </row>
    <row r="96" spans="1:12" ht="25.5">
      <c r="A96" s="18" t="s">
        <v>305</v>
      </c>
      <c r="B96" s="19" t="s">
        <v>306</v>
      </c>
      <c r="C96" s="14">
        <f t="shared" si="32"/>
        <v>10000</v>
      </c>
      <c r="D96" s="20">
        <f>4000+6000</f>
        <v>10000</v>
      </c>
      <c r="E96" s="67">
        <v>0</v>
      </c>
      <c r="F96" s="17">
        <v>0</v>
      </c>
      <c r="G96" s="67">
        <v>0</v>
      </c>
      <c r="H96" s="17">
        <v>0</v>
      </c>
      <c r="I96" s="67">
        <v>0</v>
      </c>
      <c r="J96" s="17">
        <v>0</v>
      </c>
      <c r="K96" s="118">
        <v>0</v>
      </c>
      <c r="L96" s="17">
        <v>0</v>
      </c>
    </row>
    <row r="97" spans="1:12" ht="15">
      <c r="A97" s="62" t="s">
        <v>172</v>
      </c>
      <c r="B97" s="63" t="s">
        <v>173</v>
      </c>
      <c r="C97" s="64">
        <f t="shared" si="32"/>
        <v>6611528</v>
      </c>
      <c r="D97" s="64">
        <f>D98+D103+D119+D124</f>
        <v>6214427</v>
      </c>
      <c r="E97" s="65">
        <f aca="true" t="shared" si="34" ref="E97:L97">E98+E103+E119+E124</f>
        <v>1850</v>
      </c>
      <c r="F97" s="64">
        <f t="shared" si="34"/>
        <v>330392</v>
      </c>
      <c r="G97" s="65">
        <f t="shared" si="34"/>
        <v>0</v>
      </c>
      <c r="H97" s="64">
        <f t="shared" si="34"/>
        <v>36330</v>
      </c>
      <c r="I97" s="65">
        <f t="shared" si="34"/>
        <v>1000</v>
      </c>
      <c r="J97" s="64">
        <f t="shared" si="34"/>
        <v>19764</v>
      </c>
      <c r="K97" s="65">
        <f t="shared" si="34"/>
        <v>0</v>
      </c>
      <c r="L97" s="64">
        <f t="shared" si="34"/>
        <v>7765</v>
      </c>
    </row>
    <row r="98" spans="1:12" ht="15">
      <c r="A98" s="12" t="s">
        <v>307</v>
      </c>
      <c r="B98" s="13" t="s">
        <v>308</v>
      </c>
      <c r="C98" s="14">
        <f aca="true" t="shared" si="35" ref="C98:C120">SUM(D98:L98)</f>
        <v>1222739</v>
      </c>
      <c r="D98" s="14">
        <f>SUM(D99:D102)</f>
        <v>1202739</v>
      </c>
      <c r="E98" s="66">
        <f aca="true" t="shared" si="36" ref="E98:L98">SUM(E99:E102)</f>
        <v>0</v>
      </c>
      <c r="F98" s="14">
        <f t="shared" si="36"/>
        <v>20000</v>
      </c>
      <c r="G98" s="66">
        <f t="shared" si="36"/>
        <v>0</v>
      </c>
      <c r="H98" s="14">
        <f t="shared" si="36"/>
        <v>0</v>
      </c>
      <c r="I98" s="66">
        <f t="shared" si="36"/>
        <v>0</v>
      </c>
      <c r="J98" s="14">
        <f t="shared" si="36"/>
        <v>0</v>
      </c>
      <c r="K98" s="66">
        <f t="shared" si="36"/>
        <v>0</v>
      </c>
      <c r="L98" s="14">
        <f t="shared" si="36"/>
        <v>0</v>
      </c>
    </row>
    <row r="99" spans="1:12" ht="25.5">
      <c r="A99" s="18" t="s">
        <v>309</v>
      </c>
      <c r="B99" s="19" t="s">
        <v>310</v>
      </c>
      <c r="C99" s="14">
        <f t="shared" si="35"/>
        <v>564939</v>
      </c>
      <c r="D99" s="17">
        <f>543198+9741-8000</f>
        <v>544939</v>
      </c>
      <c r="E99" s="67">
        <v>0</v>
      </c>
      <c r="F99" s="17">
        <f>5000+15000</f>
        <v>20000</v>
      </c>
      <c r="G99" s="67">
        <v>0</v>
      </c>
      <c r="H99" s="17">
        <v>0</v>
      </c>
      <c r="I99" s="67">
        <v>0</v>
      </c>
      <c r="J99" s="17">
        <v>0</v>
      </c>
      <c r="K99" s="67">
        <v>0</v>
      </c>
      <c r="L99" s="17">
        <v>0</v>
      </c>
    </row>
    <row r="100" spans="1:12" ht="15">
      <c r="A100" s="18" t="s">
        <v>311</v>
      </c>
      <c r="B100" s="19" t="s">
        <v>312</v>
      </c>
      <c r="C100" s="14">
        <f t="shared" si="35"/>
        <v>652800</v>
      </c>
      <c r="D100" s="17">
        <f>569800+15000+18000+50000</f>
        <v>652800</v>
      </c>
      <c r="E100" s="67">
        <v>0</v>
      </c>
      <c r="F100" s="17">
        <v>0</v>
      </c>
      <c r="G100" s="67">
        <v>0</v>
      </c>
      <c r="H100" s="17">
        <v>0</v>
      </c>
      <c r="I100" s="67">
        <v>0</v>
      </c>
      <c r="J100" s="17">
        <v>0</v>
      </c>
      <c r="K100" s="67">
        <v>0</v>
      </c>
      <c r="L100" s="17">
        <v>0</v>
      </c>
    </row>
    <row r="101" spans="1:12" ht="25.5">
      <c r="A101" s="18" t="s">
        <v>313</v>
      </c>
      <c r="B101" s="19" t="s">
        <v>314</v>
      </c>
      <c r="C101" s="14">
        <f t="shared" si="35"/>
        <v>5000</v>
      </c>
      <c r="D101" s="17">
        <v>5000</v>
      </c>
      <c r="E101" s="67">
        <v>0</v>
      </c>
      <c r="F101" s="17">
        <v>0</v>
      </c>
      <c r="G101" s="67">
        <v>0</v>
      </c>
      <c r="H101" s="17">
        <v>0</v>
      </c>
      <c r="I101" s="67">
        <v>0</v>
      </c>
      <c r="J101" s="17">
        <v>0</v>
      </c>
      <c r="K101" s="67">
        <v>0</v>
      </c>
      <c r="L101" s="17">
        <v>0</v>
      </c>
    </row>
    <row r="102" spans="1:12" ht="38.25" hidden="1">
      <c r="A102" s="27" t="s">
        <v>634</v>
      </c>
      <c r="B102" s="28" t="s">
        <v>635</v>
      </c>
      <c r="C102" s="68">
        <f t="shared" si="35"/>
        <v>0</v>
      </c>
      <c r="D102" s="29"/>
      <c r="E102" s="69"/>
      <c r="F102" s="29"/>
      <c r="G102" s="69"/>
      <c r="H102" s="29"/>
      <c r="I102" s="69"/>
      <c r="J102" s="29"/>
      <c r="K102" s="69"/>
      <c r="L102" s="29"/>
    </row>
    <row r="103" spans="1:12" ht="15">
      <c r="A103" s="12" t="s">
        <v>315</v>
      </c>
      <c r="B103" s="13" t="s">
        <v>316</v>
      </c>
      <c r="C103" s="14">
        <f t="shared" si="35"/>
        <v>4807975</v>
      </c>
      <c r="D103" s="14">
        <f aca="true" t="shared" si="37" ref="D103:L103">D104+D107+D109+D112+D116</f>
        <v>4432724</v>
      </c>
      <c r="E103" s="70">
        <f t="shared" si="37"/>
        <v>0</v>
      </c>
      <c r="F103" s="25">
        <f t="shared" si="37"/>
        <v>310392</v>
      </c>
      <c r="G103" s="70">
        <f t="shared" si="37"/>
        <v>0</v>
      </c>
      <c r="H103" s="25">
        <f t="shared" si="37"/>
        <v>36330</v>
      </c>
      <c r="I103" s="70">
        <f t="shared" si="37"/>
        <v>1000</v>
      </c>
      <c r="J103" s="25">
        <f t="shared" si="37"/>
        <v>19764</v>
      </c>
      <c r="K103" s="70">
        <f t="shared" si="37"/>
        <v>0</v>
      </c>
      <c r="L103" s="25">
        <f t="shared" si="37"/>
        <v>7765</v>
      </c>
    </row>
    <row r="104" spans="1:12" ht="15">
      <c r="A104" s="12" t="s">
        <v>317</v>
      </c>
      <c r="B104" s="13" t="s">
        <v>318</v>
      </c>
      <c r="C104" s="14">
        <f t="shared" si="35"/>
        <v>1055545</v>
      </c>
      <c r="D104" s="14">
        <f aca="true" t="shared" si="38" ref="D104:L104">SUM(D105:D106)</f>
        <v>1013691</v>
      </c>
      <c r="E104" s="70">
        <f t="shared" si="38"/>
        <v>0</v>
      </c>
      <c r="F104" s="25">
        <f t="shared" si="38"/>
        <v>18544</v>
      </c>
      <c r="G104" s="70">
        <f t="shared" si="38"/>
        <v>0</v>
      </c>
      <c r="H104" s="25">
        <f t="shared" si="38"/>
        <v>640</v>
      </c>
      <c r="I104" s="70">
        <f t="shared" si="38"/>
        <v>0</v>
      </c>
      <c r="J104" s="25">
        <f t="shared" si="38"/>
        <v>19764</v>
      </c>
      <c r="K104" s="70">
        <f t="shared" si="38"/>
        <v>0</v>
      </c>
      <c r="L104" s="14">
        <f t="shared" si="38"/>
        <v>2906</v>
      </c>
    </row>
    <row r="105" spans="1:12" ht="25.5">
      <c r="A105" s="18" t="s">
        <v>319</v>
      </c>
      <c r="B105" s="16" t="s">
        <v>765</v>
      </c>
      <c r="C105" s="14">
        <f t="shared" si="35"/>
        <v>1030909</v>
      </c>
      <c r="D105" s="17">
        <f>981533+9914+16674+1219</f>
        <v>1009340</v>
      </c>
      <c r="E105" s="67">
        <v>0</v>
      </c>
      <c r="F105" s="17">
        <v>1140</v>
      </c>
      <c r="G105" s="67">
        <v>0</v>
      </c>
      <c r="H105" s="17">
        <v>640</v>
      </c>
      <c r="I105" s="67">
        <v>0</v>
      </c>
      <c r="J105" s="17">
        <v>19764</v>
      </c>
      <c r="K105" s="67">
        <v>0</v>
      </c>
      <c r="L105" s="17">
        <v>25</v>
      </c>
    </row>
    <row r="106" spans="1:12" ht="51">
      <c r="A106" s="18" t="s">
        <v>320</v>
      </c>
      <c r="B106" s="16" t="s">
        <v>321</v>
      </c>
      <c r="C106" s="14">
        <f>SUM(D106:L106)</f>
        <v>24636</v>
      </c>
      <c r="D106" s="17">
        <v>4351</v>
      </c>
      <c r="E106" s="67">
        <v>0</v>
      </c>
      <c r="F106" s="17">
        <v>17404</v>
      </c>
      <c r="G106" s="67">
        <v>0</v>
      </c>
      <c r="H106" s="17">
        <v>0</v>
      </c>
      <c r="I106" s="67">
        <v>0</v>
      </c>
      <c r="J106" s="17">
        <v>0</v>
      </c>
      <c r="K106" s="67">
        <v>0</v>
      </c>
      <c r="L106" s="17">
        <v>2881</v>
      </c>
    </row>
    <row r="107" spans="1:12" ht="15">
      <c r="A107" s="12" t="s">
        <v>322</v>
      </c>
      <c r="B107" s="13" t="s">
        <v>323</v>
      </c>
      <c r="C107" s="14">
        <f t="shared" si="35"/>
        <v>561629</v>
      </c>
      <c r="D107" s="25">
        <f>D108</f>
        <v>531770</v>
      </c>
      <c r="E107" s="70">
        <f aca="true" t="shared" si="39" ref="E107:L107">E108</f>
        <v>0</v>
      </c>
      <c r="F107" s="25">
        <f t="shared" si="39"/>
        <v>11000</v>
      </c>
      <c r="G107" s="70">
        <f t="shared" si="39"/>
        <v>0</v>
      </c>
      <c r="H107" s="25">
        <f t="shared" si="39"/>
        <v>14000</v>
      </c>
      <c r="I107" s="70">
        <f t="shared" si="39"/>
        <v>0</v>
      </c>
      <c r="J107" s="25">
        <f t="shared" si="39"/>
        <v>0</v>
      </c>
      <c r="K107" s="70">
        <f t="shared" si="39"/>
        <v>0</v>
      </c>
      <c r="L107" s="25">
        <f t="shared" si="39"/>
        <v>4859</v>
      </c>
    </row>
    <row r="108" spans="1:12" ht="38.25">
      <c r="A108" s="18" t="s">
        <v>324</v>
      </c>
      <c r="B108" s="19" t="s">
        <v>325</v>
      </c>
      <c r="C108" s="14">
        <f t="shared" si="35"/>
        <v>561629</v>
      </c>
      <c r="D108" s="17">
        <f>516015+11876+3879</f>
        <v>531770</v>
      </c>
      <c r="E108" s="67">
        <v>0</v>
      </c>
      <c r="F108" s="17">
        <f>7000+4000</f>
        <v>11000</v>
      </c>
      <c r="G108" s="67">
        <v>0</v>
      </c>
      <c r="H108" s="17">
        <f>14000</f>
        <v>14000</v>
      </c>
      <c r="I108" s="67">
        <v>0</v>
      </c>
      <c r="J108" s="17">
        <v>0</v>
      </c>
      <c r="K108" s="67">
        <v>0</v>
      </c>
      <c r="L108" s="17">
        <v>4859</v>
      </c>
    </row>
    <row r="109" spans="1:12" ht="15">
      <c r="A109" s="12" t="s">
        <v>326</v>
      </c>
      <c r="B109" s="13" t="s">
        <v>327</v>
      </c>
      <c r="C109" s="14">
        <f t="shared" si="35"/>
        <v>2071076</v>
      </c>
      <c r="D109" s="25">
        <f>D110+D111</f>
        <v>1782928</v>
      </c>
      <c r="E109" s="70">
        <f aca="true" t="shared" si="40" ref="E109:L109">E110+E111</f>
        <v>0</v>
      </c>
      <c r="F109" s="25">
        <f t="shared" si="40"/>
        <v>280848</v>
      </c>
      <c r="G109" s="70">
        <f t="shared" si="40"/>
        <v>0</v>
      </c>
      <c r="H109" s="25">
        <f t="shared" si="40"/>
        <v>6300</v>
      </c>
      <c r="I109" s="70">
        <f t="shared" si="40"/>
        <v>1000</v>
      </c>
      <c r="J109" s="25">
        <f t="shared" si="40"/>
        <v>0</v>
      </c>
      <c r="K109" s="70">
        <f t="shared" si="40"/>
        <v>0</v>
      </c>
      <c r="L109" s="25">
        <f t="shared" si="40"/>
        <v>0</v>
      </c>
    </row>
    <row r="110" spans="1:12" ht="18.75" customHeight="1">
      <c r="A110" s="18" t="s">
        <v>328</v>
      </c>
      <c r="B110" s="19" t="s">
        <v>329</v>
      </c>
      <c r="C110" s="14">
        <f t="shared" si="35"/>
        <v>1507283</v>
      </c>
      <c r="D110" s="17">
        <f>1335562+24444+5309</f>
        <v>1365315</v>
      </c>
      <c r="E110" s="67">
        <v>0</v>
      </c>
      <c r="F110" s="17">
        <f>116340+10628+15000</f>
        <v>141968</v>
      </c>
      <c r="G110" s="67">
        <v>0</v>
      </c>
      <c r="H110" s="17">
        <v>0</v>
      </c>
      <c r="I110" s="67">
        <v>0</v>
      </c>
      <c r="J110" s="17">
        <v>0</v>
      </c>
      <c r="K110" s="67">
        <v>0</v>
      </c>
      <c r="L110" s="17">
        <v>0</v>
      </c>
    </row>
    <row r="111" spans="1:12" ht="15">
      <c r="A111" s="18" t="s">
        <v>330</v>
      </c>
      <c r="B111" s="19" t="s">
        <v>331</v>
      </c>
      <c r="C111" s="14">
        <f t="shared" si="35"/>
        <v>563793</v>
      </c>
      <c r="D111" s="17">
        <f>407613+3000+7000</f>
        <v>417613</v>
      </c>
      <c r="E111" s="67">
        <v>0</v>
      </c>
      <c r="F111" s="17">
        <f>90000+48880</f>
        <v>138880</v>
      </c>
      <c r="G111" s="67">
        <v>0</v>
      </c>
      <c r="H111" s="17">
        <f>6300</f>
        <v>6300</v>
      </c>
      <c r="I111" s="67">
        <v>1000</v>
      </c>
      <c r="J111" s="17">
        <v>0</v>
      </c>
      <c r="K111" s="67">
        <v>0</v>
      </c>
      <c r="L111" s="17">
        <v>0</v>
      </c>
    </row>
    <row r="112" spans="1:12" ht="15">
      <c r="A112" s="12" t="s">
        <v>332</v>
      </c>
      <c r="B112" s="13" t="s">
        <v>333</v>
      </c>
      <c r="C112" s="14">
        <f t="shared" si="35"/>
        <v>144031</v>
      </c>
      <c r="D112" s="25">
        <f>SUM(D113:D115)</f>
        <v>144031</v>
      </c>
      <c r="E112" s="70">
        <f aca="true" t="shared" si="41" ref="E112:L112">SUM(E113:E115)</f>
        <v>0</v>
      </c>
      <c r="F112" s="25">
        <f t="shared" si="41"/>
        <v>0</v>
      </c>
      <c r="G112" s="70">
        <f t="shared" si="41"/>
        <v>0</v>
      </c>
      <c r="H112" s="25">
        <f t="shared" si="41"/>
        <v>0</v>
      </c>
      <c r="I112" s="70">
        <f t="shared" si="41"/>
        <v>0</v>
      </c>
      <c r="J112" s="25">
        <f t="shared" si="41"/>
        <v>0</v>
      </c>
      <c r="K112" s="70">
        <f t="shared" si="41"/>
        <v>0</v>
      </c>
      <c r="L112" s="25">
        <f t="shared" si="41"/>
        <v>0</v>
      </c>
    </row>
    <row r="113" spans="1:12" ht="25.5">
      <c r="A113" s="18" t="s">
        <v>334</v>
      </c>
      <c r="B113" s="19" t="s">
        <v>335</v>
      </c>
      <c r="C113" s="14">
        <f t="shared" si="35"/>
        <v>23000</v>
      </c>
      <c r="D113" s="17">
        <v>23000</v>
      </c>
      <c r="E113" s="67">
        <v>0</v>
      </c>
      <c r="F113" s="17">
        <v>0</v>
      </c>
      <c r="G113" s="67">
        <v>0</v>
      </c>
      <c r="H113" s="17">
        <v>0</v>
      </c>
      <c r="I113" s="67">
        <v>0</v>
      </c>
      <c r="J113" s="17">
        <v>0</v>
      </c>
      <c r="K113" s="67">
        <v>0</v>
      </c>
      <c r="L113" s="17">
        <v>0</v>
      </c>
    </row>
    <row r="114" spans="1:12" ht="25.5">
      <c r="A114" s="18" t="s">
        <v>336</v>
      </c>
      <c r="B114" s="19" t="s">
        <v>337</v>
      </c>
      <c r="C114" s="14">
        <f t="shared" si="35"/>
        <v>97143</v>
      </c>
      <c r="D114" s="20">
        <f>94974+2169</f>
        <v>97143</v>
      </c>
      <c r="E114" s="67">
        <v>0</v>
      </c>
      <c r="F114" s="17">
        <v>0</v>
      </c>
      <c r="G114" s="67">
        <v>0</v>
      </c>
      <c r="H114" s="17">
        <v>0</v>
      </c>
      <c r="I114" s="67">
        <v>0</v>
      </c>
      <c r="J114" s="17">
        <v>0</v>
      </c>
      <c r="K114" s="67">
        <v>0</v>
      </c>
      <c r="L114" s="17">
        <v>0</v>
      </c>
    </row>
    <row r="115" spans="1:12" ht="25.5">
      <c r="A115" s="18" t="s">
        <v>338</v>
      </c>
      <c r="B115" s="19" t="s">
        <v>339</v>
      </c>
      <c r="C115" s="14">
        <f t="shared" si="35"/>
        <v>23888</v>
      </c>
      <c r="D115" s="20">
        <f>23541+347</f>
        <v>23888</v>
      </c>
      <c r="E115" s="67">
        <v>0</v>
      </c>
      <c r="F115" s="17">
        <v>0</v>
      </c>
      <c r="G115" s="67">
        <v>0</v>
      </c>
      <c r="H115" s="17">
        <v>0</v>
      </c>
      <c r="I115" s="67">
        <v>0</v>
      </c>
      <c r="J115" s="17">
        <v>0</v>
      </c>
      <c r="K115" s="67">
        <v>0</v>
      </c>
      <c r="L115" s="17">
        <v>0</v>
      </c>
    </row>
    <row r="116" spans="1:12" ht="15">
      <c r="A116" s="12" t="s">
        <v>340</v>
      </c>
      <c r="B116" s="13" t="s">
        <v>341</v>
      </c>
      <c r="C116" s="14">
        <f t="shared" si="35"/>
        <v>975694</v>
      </c>
      <c r="D116" s="14">
        <f aca="true" t="shared" si="42" ref="D116:L116">SUM(D117:D118)</f>
        <v>960304</v>
      </c>
      <c r="E116" s="70">
        <f t="shared" si="42"/>
        <v>0</v>
      </c>
      <c r="F116" s="25">
        <f t="shared" si="42"/>
        <v>0</v>
      </c>
      <c r="G116" s="70">
        <f t="shared" si="42"/>
        <v>0</v>
      </c>
      <c r="H116" s="25">
        <f t="shared" si="42"/>
        <v>15390</v>
      </c>
      <c r="I116" s="70">
        <f t="shared" si="42"/>
        <v>0</v>
      </c>
      <c r="J116" s="14">
        <f t="shared" si="42"/>
        <v>0</v>
      </c>
      <c r="K116" s="66">
        <f t="shared" si="42"/>
        <v>0</v>
      </c>
      <c r="L116" s="14">
        <f t="shared" si="42"/>
        <v>0</v>
      </c>
    </row>
    <row r="117" spans="1:12" ht="25.5">
      <c r="A117" s="18" t="s">
        <v>342</v>
      </c>
      <c r="B117" s="19" t="s">
        <v>343</v>
      </c>
      <c r="C117" s="14">
        <f t="shared" si="35"/>
        <v>514150</v>
      </c>
      <c r="D117" s="20">
        <f>486470+12290</f>
        <v>498760</v>
      </c>
      <c r="E117" s="67">
        <v>0</v>
      </c>
      <c r="F117" s="17">
        <v>0</v>
      </c>
      <c r="G117" s="67">
        <v>0</v>
      </c>
      <c r="H117" s="17">
        <v>15390</v>
      </c>
      <c r="I117" s="67">
        <v>0</v>
      </c>
      <c r="J117" s="17">
        <v>0</v>
      </c>
      <c r="K117" s="67">
        <v>0</v>
      </c>
      <c r="L117" s="17">
        <v>0</v>
      </c>
    </row>
    <row r="118" spans="1:12" ht="15">
      <c r="A118" s="18" t="s">
        <v>344</v>
      </c>
      <c r="B118" s="19" t="s">
        <v>345</v>
      </c>
      <c r="C118" s="14">
        <f t="shared" si="35"/>
        <v>461544</v>
      </c>
      <c r="D118" s="20">
        <v>461544</v>
      </c>
      <c r="E118" s="67">
        <v>0</v>
      </c>
      <c r="F118" s="17">
        <v>0</v>
      </c>
      <c r="G118" s="67">
        <v>0</v>
      </c>
      <c r="H118" s="17">
        <v>0</v>
      </c>
      <c r="I118" s="67">
        <v>0</v>
      </c>
      <c r="J118" s="17">
        <v>0</v>
      </c>
      <c r="K118" s="67">
        <v>0</v>
      </c>
      <c r="L118" s="17">
        <v>0</v>
      </c>
    </row>
    <row r="119" spans="1:12" ht="25.5">
      <c r="A119" s="12" t="s">
        <v>346</v>
      </c>
      <c r="B119" s="13" t="s">
        <v>347</v>
      </c>
      <c r="C119" s="14">
        <f t="shared" si="35"/>
        <v>254902</v>
      </c>
      <c r="D119" s="14">
        <f>SUM(D120:D123)</f>
        <v>253052</v>
      </c>
      <c r="E119" s="70">
        <f aca="true" t="shared" si="43" ref="E119:L119">SUM(E120:E123)</f>
        <v>1850</v>
      </c>
      <c r="F119" s="25">
        <f t="shared" si="43"/>
        <v>0</v>
      </c>
      <c r="G119" s="70">
        <f t="shared" si="43"/>
        <v>0</v>
      </c>
      <c r="H119" s="25">
        <f t="shared" si="43"/>
        <v>0</v>
      </c>
      <c r="I119" s="70">
        <f t="shared" si="43"/>
        <v>0</v>
      </c>
      <c r="J119" s="25">
        <f t="shared" si="43"/>
        <v>0</v>
      </c>
      <c r="K119" s="66">
        <f t="shared" si="43"/>
        <v>0</v>
      </c>
      <c r="L119" s="14">
        <f t="shared" si="43"/>
        <v>0</v>
      </c>
    </row>
    <row r="120" spans="1:12" ht="15">
      <c r="A120" s="18" t="s">
        <v>348</v>
      </c>
      <c r="B120" s="19" t="s">
        <v>349</v>
      </c>
      <c r="C120" s="14">
        <f t="shared" si="35"/>
        <v>112850</v>
      </c>
      <c r="D120" s="20">
        <f>100000+8000+3000</f>
        <v>111000</v>
      </c>
      <c r="E120" s="67">
        <f>1350+200+300</f>
        <v>1850</v>
      </c>
      <c r="F120" s="17">
        <v>0</v>
      </c>
      <c r="G120" s="67">
        <v>0</v>
      </c>
      <c r="H120" s="17">
        <v>0</v>
      </c>
      <c r="I120" s="67">
        <v>0</v>
      </c>
      <c r="J120" s="17">
        <v>0</v>
      </c>
      <c r="K120" s="67">
        <v>0</v>
      </c>
      <c r="L120" s="17">
        <v>0</v>
      </c>
    </row>
    <row r="121" spans="1:12" ht="25.5">
      <c r="A121" s="18" t="s">
        <v>350</v>
      </c>
      <c r="B121" s="19" t="s">
        <v>351</v>
      </c>
      <c r="C121" s="14">
        <f aca="true" t="shared" si="44" ref="C121:C127">SUM(D121:L121)</f>
        <v>41709</v>
      </c>
      <c r="D121" s="20">
        <v>41709</v>
      </c>
      <c r="E121" s="67">
        <v>0</v>
      </c>
      <c r="F121" s="17">
        <v>0</v>
      </c>
      <c r="G121" s="67">
        <v>0</v>
      </c>
      <c r="H121" s="17">
        <v>0</v>
      </c>
      <c r="I121" s="67">
        <v>0</v>
      </c>
      <c r="J121" s="17">
        <v>0</v>
      </c>
      <c r="K121" s="67">
        <v>0</v>
      </c>
      <c r="L121" s="17">
        <v>0</v>
      </c>
    </row>
    <row r="122" spans="1:12" ht="25.5">
      <c r="A122" s="18" t="s">
        <v>352</v>
      </c>
      <c r="B122" s="19" t="s">
        <v>353</v>
      </c>
      <c r="C122" s="14">
        <f t="shared" si="44"/>
        <v>3000</v>
      </c>
      <c r="D122" s="17">
        <v>3000</v>
      </c>
      <c r="E122" s="67">
        <v>0</v>
      </c>
      <c r="F122" s="17">
        <v>0</v>
      </c>
      <c r="G122" s="67">
        <v>0</v>
      </c>
      <c r="H122" s="17">
        <v>0</v>
      </c>
      <c r="I122" s="67">
        <v>0</v>
      </c>
      <c r="J122" s="17">
        <v>0</v>
      </c>
      <c r="K122" s="67">
        <v>0</v>
      </c>
      <c r="L122" s="17">
        <v>0</v>
      </c>
    </row>
    <row r="123" spans="1:12" ht="25.5">
      <c r="A123" s="18" t="s">
        <v>354</v>
      </c>
      <c r="B123" s="19" t="s">
        <v>355</v>
      </c>
      <c r="C123" s="14">
        <f t="shared" si="44"/>
        <v>97343</v>
      </c>
      <c r="D123" s="17">
        <v>97343</v>
      </c>
      <c r="E123" s="67">
        <v>0</v>
      </c>
      <c r="F123" s="17">
        <v>0</v>
      </c>
      <c r="G123" s="67">
        <v>0</v>
      </c>
      <c r="H123" s="17">
        <v>0</v>
      </c>
      <c r="I123" s="67">
        <v>0</v>
      </c>
      <c r="J123" s="17">
        <v>0</v>
      </c>
      <c r="K123" s="67">
        <v>0</v>
      </c>
      <c r="L123" s="17">
        <v>0</v>
      </c>
    </row>
    <row r="124" spans="1:12" ht="30.75" customHeight="1">
      <c r="A124" s="119" t="s">
        <v>706</v>
      </c>
      <c r="B124" s="13" t="s">
        <v>707</v>
      </c>
      <c r="C124" s="14">
        <f t="shared" si="44"/>
        <v>325912</v>
      </c>
      <c r="D124" s="25">
        <f>D125</f>
        <v>325912</v>
      </c>
      <c r="E124" s="70">
        <f aca="true" t="shared" si="45" ref="E124:L124">E125</f>
        <v>0</v>
      </c>
      <c r="F124" s="25">
        <f t="shared" si="45"/>
        <v>0</v>
      </c>
      <c r="G124" s="70">
        <f t="shared" si="45"/>
        <v>0</v>
      </c>
      <c r="H124" s="25">
        <f t="shared" si="45"/>
        <v>0</v>
      </c>
      <c r="I124" s="70">
        <f t="shared" si="45"/>
        <v>0</v>
      </c>
      <c r="J124" s="25">
        <f t="shared" si="45"/>
        <v>0</v>
      </c>
      <c r="K124" s="70">
        <f t="shared" si="45"/>
        <v>0</v>
      </c>
      <c r="L124" s="25">
        <f t="shared" si="45"/>
        <v>0</v>
      </c>
    </row>
    <row r="125" spans="1:12" ht="25.5">
      <c r="A125" s="111" t="s">
        <v>708</v>
      </c>
      <c r="B125" s="19" t="s">
        <v>709</v>
      </c>
      <c r="C125" s="14">
        <f t="shared" si="44"/>
        <v>325912</v>
      </c>
      <c r="D125" s="17">
        <f>296317+9117+5976+14502</f>
        <v>325912</v>
      </c>
      <c r="E125" s="67">
        <v>0</v>
      </c>
      <c r="F125" s="17">
        <v>0</v>
      </c>
      <c r="G125" s="67">
        <v>0</v>
      </c>
      <c r="H125" s="17">
        <v>0</v>
      </c>
      <c r="I125" s="67">
        <v>0</v>
      </c>
      <c r="J125" s="17">
        <v>0</v>
      </c>
      <c r="K125" s="67">
        <v>0</v>
      </c>
      <c r="L125" s="17">
        <v>0</v>
      </c>
    </row>
    <row r="126" spans="1:12" ht="15">
      <c r="A126" s="62" t="s">
        <v>26</v>
      </c>
      <c r="B126" s="63" t="s">
        <v>174</v>
      </c>
      <c r="C126" s="64">
        <f t="shared" si="44"/>
        <v>52857785</v>
      </c>
      <c r="D126" s="64">
        <f>D127+D130+D142+D148+D151+D159+D163+D157</f>
        <v>32969556</v>
      </c>
      <c r="E126" s="65">
        <f aca="true" t="shared" si="46" ref="E126:L126">E127+E130+E142+E148+E151+E159+E163+E157</f>
        <v>-1277312</v>
      </c>
      <c r="F126" s="64">
        <f t="shared" si="46"/>
        <v>804532</v>
      </c>
      <c r="G126" s="65">
        <f t="shared" si="46"/>
        <v>14228</v>
      </c>
      <c r="H126" s="64">
        <f t="shared" si="46"/>
        <v>19099682</v>
      </c>
      <c r="I126" s="65">
        <f t="shared" si="46"/>
        <v>25449</v>
      </c>
      <c r="J126" s="64">
        <f t="shared" si="46"/>
        <v>0</v>
      </c>
      <c r="K126" s="65">
        <f t="shared" si="46"/>
        <v>0</v>
      </c>
      <c r="L126" s="64">
        <f t="shared" si="46"/>
        <v>1221650</v>
      </c>
    </row>
    <row r="127" spans="1:12" ht="15">
      <c r="A127" s="12" t="s">
        <v>356</v>
      </c>
      <c r="B127" s="13" t="s">
        <v>357</v>
      </c>
      <c r="C127" s="14">
        <f t="shared" si="44"/>
        <v>11812093</v>
      </c>
      <c r="D127" s="14">
        <f>SUM(D128:D129)</f>
        <v>10335580</v>
      </c>
      <c r="E127" s="66">
        <f aca="true" t="shared" si="47" ref="E127:L127">SUM(E128:E129)</f>
        <v>-18513</v>
      </c>
      <c r="F127" s="14">
        <f t="shared" si="47"/>
        <v>103493</v>
      </c>
      <c r="G127" s="66">
        <f t="shared" si="47"/>
        <v>0</v>
      </c>
      <c r="H127" s="14">
        <f t="shared" si="47"/>
        <v>1349889</v>
      </c>
      <c r="I127" s="66">
        <f t="shared" si="47"/>
        <v>10500</v>
      </c>
      <c r="J127" s="14">
        <f t="shared" si="47"/>
        <v>0</v>
      </c>
      <c r="K127" s="66">
        <f t="shared" si="47"/>
        <v>0</v>
      </c>
      <c r="L127" s="14">
        <f t="shared" si="47"/>
        <v>31144</v>
      </c>
    </row>
    <row r="128" spans="1:12" ht="25.5">
      <c r="A128" s="18" t="s">
        <v>358</v>
      </c>
      <c r="B128" s="19" t="s">
        <v>688</v>
      </c>
      <c r="C128" s="14">
        <f>SUM(D128:L128)</f>
        <v>10231920</v>
      </c>
      <c r="D128" s="17">
        <f>8700007-10014+87489+302332-324407</f>
        <v>8755407</v>
      </c>
      <c r="E128" s="67">
        <v>-18513</v>
      </c>
      <c r="F128" s="17">
        <v>103493</v>
      </c>
      <c r="G128" s="67">
        <v>0</v>
      </c>
      <c r="H128" s="17">
        <f>802787+64116+482986</f>
        <v>1349889</v>
      </c>
      <c r="I128" s="67">
        <v>10500</v>
      </c>
      <c r="J128" s="17">
        <v>0</v>
      </c>
      <c r="K128" s="67">
        <v>0</v>
      </c>
      <c r="L128" s="17">
        <v>31144</v>
      </c>
    </row>
    <row r="129" spans="1:12" ht="38.25">
      <c r="A129" s="38" t="s">
        <v>359</v>
      </c>
      <c r="B129" s="16" t="s">
        <v>360</v>
      </c>
      <c r="C129" s="14">
        <f>SUM(D129:L129)</f>
        <v>1580173</v>
      </c>
      <c r="D129" s="17">
        <f>1380567+199606</f>
        <v>1580173</v>
      </c>
      <c r="E129" s="67">
        <v>0</v>
      </c>
      <c r="F129" s="17">
        <v>0</v>
      </c>
      <c r="G129" s="67">
        <v>0</v>
      </c>
      <c r="H129" s="17">
        <v>0</v>
      </c>
      <c r="I129" s="67">
        <v>0</v>
      </c>
      <c r="J129" s="17">
        <v>0</v>
      </c>
      <c r="K129" s="67">
        <v>0</v>
      </c>
      <c r="L129" s="17">
        <v>0</v>
      </c>
    </row>
    <row r="130" spans="1:12" ht="25.5">
      <c r="A130" s="23" t="s">
        <v>361</v>
      </c>
      <c r="B130" s="24" t="s">
        <v>362</v>
      </c>
      <c r="C130" s="25">
        <f>SUM(D130:L130)</f>
        <v>30677124</v>
      </c>
      <c r="D130" s="25">
        <f aca="true" t="shared" si="48" ref="D130:L130">D131+D139</f>
        <v>16816425</v>
      </c>
      <c r="E130" s="70">
        <f t="shared" si="48"/>
        <v>-1314970</v>
      </c>
      <c r="F130" s="25">
        <f t="shared" si="48"/>
        <v>361922</v>
      </c>
      <c r="G130" s="70">
        <f t="shared" si="48"/>
        <v>6528</v>
      </c>
      <c r="H130" s="25">
        <f t="shared" si="48"/>
        <v>14152125</v>
      </c>
      <c r="I130" s="70">
        <f t="shared" si="48"/>
        <v>3614</v>
      </c>
      <c r="J130" s="25">
        <f t="shared" si="48"/>
        <v>0</v>
      </c>
      <c r="K130" s="70">
        <f t="shared" si="48"/>
        <v>0</v>
      </c>
      <c r="L130" s="25">
        <f t="shared" si="48"/>
        <v>651480</v>
      </c>
    </row>
    <row r="131" spans="1:12" ht="15">
      <c r="A131" s="21" t="s">
        <v>363</v>
      </c>
      <c r="B131" s="13" t="s">
        <v>364</v>
      </c>
      <c r="C131" s="14">
        <f>SUM(D131:L131)</f>
        <v>28884586</v>
      </c>
      <c r="D131" s="14">
        <f>SUM(D132:D138)</f>
        <v>16307232</v>
      </c>
      <c r="E131" s="66">
        <f aca="true" t="shared" si="49" ref="E131:L131">SUM(E132:E138)</f>
        <v>-1321989</v>
      </c>
      <c r="F131" s="14">
        <f t="shared" si="49"/>
        <v>256157</v>
      </c>
      <c r="G131" s="66">
        <f t="shared" si="49"/>
        <v>2303</v>
      </c>
      <c r="H131" s="14">
        <f t="shared" si="49"/>
        <v>13156775</v>
      </c>
      <c r="I131" s="66">
        <f t="shared" si="49"/>
        <v>900</v>
      </c>
      <c r="J131" s="14">
        <f t="shared" si="49"/>
        <v>0</v>
      </c>
      <c r="K131" s="66">
        <f t="shared" si="49"/>
        <v>0</v>
      </c>
      <c r="L131" s="14">
        <f t="shared" si="49"/>
        <v>483208</v>
      </c>
    </row>
    <row r="132" spans="1:12" ht="25.5">
      <c r="A132" s="18" t="s">
        <v>365</v>
      </c>
      <c r="B132" s="19" t="s">
        <v>366</v>
      </c>
      <c r="C132" s="25">
        <f>SUM(D132:L132)</f>
        <v>16410372</v>
      </c>
      <c r="D132" s="17">
        <f>5107024+10014+55455+306495</f>
        <v>5478988</v>
      </c>
      <c r="E132" s="67">
        <v>5640</v>
      </c>
      <c r="F132" s="17">
        <f>142833+57696+1303</f>
        <v>201832</v>
      </c>
      <c r="G132" s="67">
        <v>0</v>
      </c>
      <c r="H132" s="17">
        <f>6634875+157116+3851815</f>
        <v>10643806</v>
      </c>
      <c r="I132" s="67">
        <v>351</v>
      </c>
      <c r="J132" s="17">
        <v>0</v>
      </c>
      <c r="K132" s="67">
        <v>0</v>
      </c>
      <c r="L132" s="17">
        <v>79755</v>
      </c>
    </row>
    <row r="133" spans="1:12" ht="38.25">
      <c r="A133" s="18" t="s">
        <v>367</v>
      </c>
      <c r="B133" s="19" t="s">
        <v>689</v>
      </c>
      <c r="C133" s="25">
        <f aca="true" t="shared" si="50" ref="C133:C164">SUM(D133:L133)</f>
        <v>2469716</v>
      </c>
      <c r="D133" s="17">
        <f>428047+25891+33941</f>
        <v>487879</v>
      </c>
      <c r="E133" s="67">
        <v>25281</v>
      </c>
      <c r="F133" s="17">
        <f>30805+12000</f>
        <v>42805</v>
      </c>
      <c r="G133" s="67">
        <v>0</v>
      </c>
      <c r="H133" s="17">
        <f>1188621+39817+653515</f>
        <v>1881953</v>
      </c>
      <c r="I133" s="67">
        <v>549</v>
      </c>
      <c r="J133" s="17">
        <v>0</v>
      </c>
      <c r="K133" s="67">
        <v>0</v>
      </c>
      <c r="L133" s="17">
        <v>31249</v>
      </c>
    </row>
    <row r="134" spans="1:12" ht="25.5">
      <c r="A134" s="18" t="s">
        <v>368</v>
      </c>
      <c r="B134" s="19" t="s">
        <v>369</v>
      </c>
      <c r="C134" s="14">
        <f t="shared" si="50"/>
        <v>434040</v>
      </c>
      <c r="D134" s="20">
        <f>27893-7102</f>
        <v>20791</v>
      </c>
      <c r="E134" s="67">
        <v>0</v>
      </c>
      <c r="F134" s="17">
        <f>11320+200</f>
        <v>11520</v>
      </c>
      <c r="G134" s="67">
        <v>2303</v>
      </c>
      <c r="H134" s="17">
        <f>101213+17600+16480</f>
        <v>135293</v>
      </c>
      <c r="I134" s="67">
        <v>0</v>
      </c>
      <c r="J134" s="17">
        <v>0</v>
      </c>
      <c r="K134" s="67">
        <v>0</v>
      </c>
      <c r="L134" s="17">
        <v>264133</v>
      </c>
    </row>
    <row r="135" spans="1:12" ht="46.5" customHeight="1">
      <c r="A135" s="18" t="s">
        <v>370</v>
      </c>
      <c r="B135" s="19" t="s">
        <v>371</v>
      </c>
      <c r="C135" s="14">
        <f t="shared" si="50"/>
        <v>5202195</v>
      </c>
      <c r="D135" s="20">
        <f>4450069+2089787</f>
        <v>6539856</v>
      </c>
      <c r="E135" s="67">
        <v>-1348718</v>
      </c>
      <c r="F135" s="17">
        <v>0</v>
      </c>
      <c r="G135" s="67">
        <v>0</v>
      </c>
      <c r="H135" s="17">
        <v>0</v>
      </c>
      <c r="I135" s="67">
        <v>0</v>
      </c>
      <c r="J135" s="17">
        <v>0</v>
      </c>
      <c r="K135" s="67">
        <v>0</v>
      </c>
      <c r="L135" s="17">
        <v>11057</v>
      </c>
    </row>
    <row r="136" spans="1:12" ht="78" customHeight="1">
      <c r="A136" s="15" t="s">
        <v>372</v>
      </c>
      <c r="B136" s="16" t="s">
        <v>690</v>
      </c>
      <c r="C136" s="25">
        <f t="shared" si="50"/>
        <v>126483</v>
      </c>
      <c r="D136" s="17">
        <v>0</v>
      </c>
      <c r="E136" s="67">
        <v>0</v>
      </c>
      <c r="F136" s="17">
        <v>0</v>
      </c>
      <c r="G136" s="67">
        <v>0</v>
      </c>
      <c r="H136" s="17">
        <v>123183</v>
      </c>
      <c r="I136" s="67">
        <v>0</v>
      </c>
      <c r="J136" s="17">
        <v>0</v>
      </c>
      <c r="K136" s="67">
        <v>0</v>
      </c>
      <c r="L136" s="17">
        <v>3300</v>
      </c>
    </row>
    <row r="137" spans="1:12" ht="51">
      <c r="A137" s="15" t="s">
        <v>373</v>
      </c>
      <c r="B137" s="16" t="s">
        <v>374</v>
      </c>
      <c r="C137" s="25">
        <f t="shared" si="50"/>
        <v>3869240</v>
      </c>
      <c r="D137" s="17">
        <f>3124593+655125</f>
        <v>3779718</v>
      </c>
      <c r="E137" s="67">
        <v>-4192</v>
      </c>
      <c r="F137" s="17">
        <v>0</v>
      </c>
      <c r="G137" s="67">
        <v>0</v>
      </c>
      <c r="H137" s="17">
        <v>0</v>
      </c>
      <c r="I137" s="67">
        <v>0</v>
      </c>
      <c r="J137" s="17">
        <v>0</v>
      </c>
      <c r="K137" s="67">
        <v>0</v>
      </c>
      <c r="L137" s="17">
        <v>93714</v>
      </c>
    </row>
    <row r="138" spans="1:12" ht="51">
      <c r="A138" s="15" t="s">
        <v>731</v>
      </c>
      <c r="B138" s="16" t="s">
        <v>732</v>
      </c>
      <c r="C138" s="25">
        <f t="shared" si="50"/>
        <v>372540</v>
      </c>
      <c r="D138" s="17">
        <v>0</v>
      </c>
      <c r="E138" s="67">
        <v>0</v>
      </c>
      <c r="F138" s="17">
        <v>0</v>
      </c>
      <c r="G138" s="67">
        <v>0</v>
      </c>
      <c r="H138" s="17">
        <f>372540</f>
        <v>372540</v>
      </c>
      <c r="I138" s="67">
        <v>0</v>
      </c>
      <c r="J138" s="17">
        <v>0</v>
      </c>
      <c r="K138" s="67">
        <v>0</v>
      </c>
      <c r="L138" s="17">
        <v>0</v>
      </c>
    </row>
    <row r="139" spans="1:12" ht="15">
      <c r="A139" s="21" t="s">
        <v>375</v>
      </c>
      <c r="B139" s="13" t="s">
        <v>376</v>
      </c>
      <c r="C139" s="14">
        <f>SUM(D139:L139)</f>
        <v>1792538</v>
      </c>
      <c r="D139" s="14">
        <f aca="true" t="shared" si="51" ref="D139:L139">SUM(D140:D141)</f>
        <v>509193</v>
      </c>
      <c r="E139" s="70">
        <f t="shared" si="51"/>
        <v>7019</v>
      </c>
      <c r="F139" s="25">
        <f t="shared" si="51"/>
        <v>105765</v>
      </c>
      <c r="G139" s="70">
        <f t="shared" si="51"/>
        <v>4225</v>
      </c>
      <c r="H139" s="25">
        <f t="shared" si="51"/>
        <v>995350</v>
      </c>
      <c r="I139" s="70">
        <f t="shared" si="51"/>
        <v>2714</v>
      </c>
      <c r="J139" s="25">
        <f t="shared" si="51"/>
        <v>0</v>
      </c>
      <c r="K139" s="70">
        <f t="shared" si="51"/>
        <v>0</v>
      </c>
      <c r="L139" s="14">
        <f t="shared" si="51"/>
        <v>168272</v>
      </c>
    </row>
    <row r="140" spans="1:12" ht="25.5">
      <c r="A140" s="18" t="s">
        <v>377</v>
      </c>
      <c r="B140" s="19" t="s">
        <v>378</v>
      </c>
      <c r="C140" s="14">
        <f t="shared" si="50"/>
        <v>1409785</v>
      </c>
      <c r="D140" s="20">
        <f>467782+3360+15899+10152</f>
        <v>497193</v>
      </c>
      <c r="E140" s="67">
        <v>6772</v>
      </c>
      <c r="F140" s="17">
        <f>20242+6700</f>
        <v>26942</v>
      </c>
      <c r="G140" s="67">
        <v>1725</v>
      </c>
      <c r="H140" s="17">
        <f>536374+12316+324888</f>
        <v>873578</v>
      </c>
      <c r="I140" s="67">
        <v>2714</v>
      </c>
      <c r="J140" s="17">
        <v>0</v>
      </c>
      <c r="K140" s="67">
        <v>0</v>
      </c>
      <c r="L140" s="20">
        <v>861</v>
      </c>
    </row>
    <row r="141" spans="1:12" ht="25.5">
      <c r="A141" s="18" t="s">
        <v>379</v>
      </c>
      <c r="B141" s="19" t="s">
        <v>380</v>
      </c>
      <c r="C141" s="14">
        <f t="shared" si="50"/>
        <v>382753</v>
      </c>
      <c r="D141" s="20">
        <f>26291-14291</f>
        <v>12000</v>
      </c>
      <c r="E141" s="67">
        <v>247</v>
      </c>
      <c r="F141" s="17">
        <f>11455+49161+18207</f>
        <v>78823</v>
      </c>
      <c r="G141" s="67">
        <v>2500</v>
      </c>
      <c r="H141" s="17">
        <f>128894-32908+25786</f>
        <v>121772</v>
      </c>
      <c r="I141" s="67">
        <v>0</v>
      </c>
      <c r="J141" s="17">
        <v>0</v>
      </c>
      <c r="K141" s="67">
        <v>0</v>
      </c>
      <c r="L141" s="20">
        <v>167411</v>
      </c>
    </row>
    <row r="142" spans="1:12" ht="25.5">
      <c r="A142" s="12" t="s">
        <v>382</v>
      </c>
      <c r="B142" s="13" t="s">
        <v>383</v>
      </c>
      <c r="C142" s="14">
        <f>SUM(D142:L142)</f>
        <v>6573668</v>
      </c>
      <c r="D142" s="14">
        <f aca="true" t="shared" si="52" ref="D142:J142">SUM(D143:D147)</f>
        <v>3681832</v>
      </c>
      <c r="E142" s="70">
        <f t="shared" si="52"/>
        <v>39021</v>
      </c>
      <c r="F142" s="25">
        <f t="shared" si="52"/>
        <v>148695</v>
      </c>
      <c r="G142" s="70">
        <f t="shared" si="52"/>
        <v>7700</v>
      </c>
      <c r="H142" s="25">
        <f>SUM(H143:H147)</f>
        <v>2666804</v>
      </c>
      <c r="I142" s="70">
        <f t="shared" si="52"/>
        <v>0</v>
      </c>
      <c r="J142" s="25">
        <f t="shared" si="52"/>
        <v>0</v>
      </c>
      <c r="K142" s="70">
        <f>SUM(K143:K147)</f>
        <v>0</v>
      </c>
      <c r="L142" s="14">
        <f>SUM(L143:L147)</f>
        <v>29616</v>
      </c>
    </row>
    <row r="143" spans="1:12" ht="38.25">
      <c r="A143" s="18" t="s">
        <v>38</v>
      </c>
      <c r="B143" s="19" t="s">
        <v>691</v>
      </c>
      <c r="C143" s="14">
        <f t="shared" si="50"/>
        <v>1383614</v>
      </c>
      <c r="D143" s="20">
        <f>628316-3360+17996-17780</f>
        <v>625172</v>
      </c>
      <c r="E143" s="67">
        <v>9971</v>
      </c>
      <c r="F143" s="17">
        <f>27145+21280</f>
        <v>48425</v>
      </c>
      <c r="G143" s="67">
        <v>7700</v>
      </c>
      <c r="H143" s="17">
        <f>439976+5103+245122</f>
        <v>690201</v>
      </c>
      <c r="I143" s="67">
        <v>0</v>
      </c>
      <c r="J143" s="17">
        <v>0</v>
      </c>
      <c r="K143" s="67">
        <v>0</v>
      </c>
      <c r="L143" s="20">
        <v>2145</v>
      </c>
    </row>
    <row r="144" spans="1:12" ht="25.5">
      <c r="A144" s="18" t="s">
        <v>40</v>
      </c>
      <c r="B144" s="19" t="s">
        <v>384</v>
      </c>
      <c r="C144" s="14">
        <f t="shared" si="50"/>
        <v>295570</v>
      </c>
      <c r="D144" s="20">
        <f>145042+3086+8886</f>
        <v>157014</v>
      </c>
      <c r="E144" s="67">
        <v>3050</v>
      </c>
      <c r="F144" s="17">
        <f>8115+7600</f>
        <v>15715</v>
      </c>
      <c r="G144" s="67">
        <v>0</v>
      </c>
      <c r="H144" s="17">
        <f>113527+1376+3344</f>
        <v>118247</v>
      </c>
      <c r="I144" s="67">
        <v>0</v>
      </c>
      <c r="J144" s="17">
        <v>0</v>
      </c>
      <c r="K144" s="67">
        <v>0</v>
      </c>
      <c r="L144" s="20">
        <v>1544</v>
      </c>
    </row>
    <row r="145" spans="1:12" ht="25.5">
      <c r="A145" s="18" t="s">
        <v>385</v>
      </c>
      <c r="B145" s="19" t="s">
        <v>386</v>
      </c>
      <c r="C145" s="14">
        <f t="shared" si="50"/>
        <v>2744021</v>
      </c>
      <c r="D145" s="20">
        <f>1804613+86595+23119+150712</f>
        <v>2065039</v>
      </c>
      <c r="E145" s="67">
        <v>26000</v>
      </c>
      <c r="F145" s="17">
        <v>84555</v>
      </c>
      <c r="G145" s="67">
        <v>0</v>
      </c>
      <c r="H145" s="17">
        <f>531266+7939+19151</f>
        <v>558356</v>
      </c>
      <c r="I145" s="67">
        <v>0</v>
      </c>
      <c r="J145" s="17">
        <v>0</v>
      </c>
      <c r="K145" s="67">
        <v>0</v>
      </c>
      <c r="L145" s="20">
        <v>10071</v>
      </c>
    </row>
    <row r="146" spans="1:12" ht="76.5">
      <c r="A146" s="15" t="s">
        <v>602</v>
      </c>
      <c r="B146" s="16" t="s">
        <v>692</v>
      </c>
      <c r="C146" s="25">
        <f>SUM(D146:L146)</f>
        <v>621050</v>
      </c>
      <c r="D146" s="17">
        <f>621050-15856</f>
        <v>605194</v>
      </c>
      <c r="E146" s="67">
        <v>0</v>
      </c>
      <c r="F146" s="17">
        <v>0</v>
      </c>
      <c r="G146" s="67">
        <v>0</v>
      </c>
      <c r="H146" s="17">
        <v>0</v>
      </c>
      <c r="I146" s="67">
        <v>0</v>
      </c>
      <c r="J146" s="17">
        <v>0</v>
      </c>
      <c r="K146" s="67">
        <v>0</v>
      </c>
      <c r="L146" s="17">
        <v>15856</v>
      </c>
    </row>
    <row r="147" spans="1:12" ht="38.25">
      <c r="A147" s="15" t="s">
        <v>755</v>
      </c>
      <c r="B147" s="16" t="s">
        <v>756</v>
      </c>
      <c r="C147" s="25">
        <f>SUM(D147:L147)</f>
        <v>1529413</v>
      </c>
      <c r="D147" s="17">
        <v>229413</v>
      </c>
      <c r="E147" s="67">
        <v>0</v>
      </c>
      <c r="F147" s="17">
        <v>0</v>
      </c>
      <c r="G147" s="67">
        <v>0</v>
      </c>
      <c r="H147" s="67">
        <v>1300000</v>
      </c>
      <c r="I147" s="67">
        <v>0</v>
      </c>
      <c r="J147" s="17">
        <v>0</v>
      </c>
      <c r="K147" s="67">
        <v>0</v>
      </c>
      <c r="L147" s="17">
        <v>0</v>
      </c>
    </row>
    <row r="148" spans="1:12" ht="51">
      <c r="A148" s="12" t="s">
        <v>387</v>
      </c>
      <c r="B148" s="13" t="s">
        <v>388</v>
      </c>
      <c r="C148" s="14">
        <f>SUM(D148:L148)</f>
        <v>39000</v>
      </c>
      <c r="D148" s="14">
        <f>SUM(D149:D150)</f>
        <v>39000</v>
      </c>
      <c r="E148" s="70">
        <f aca="true" t="shared" si="53" ref="E148:L148">SUM(E149:E150)</f>
        <v>0</v>
      </c>
      <c r="F148" s="25">
        <f t="shared" si="53"/>
        <v>0</v>
      </c>
      <c r="G148" s="70">
        <f t="shared" si="53"/>
        <v>0</v>
      </c>
      <c r="H148" s="25">
        <f t="shared" si="53"/>
        <v>0</v>
      </c>
      <c r="I148" s="70">
        <f t="shared" si="53"/>
        <v>0</v>
      </c>
      <c r="J148" s="25">
        <f t="shared" si="53"/>
        <v>0</v>
      </c>
      <c r="K148" s="70">
        <f t="shared" si="53"/>
        <v>0</v>
      </c>
      <c r="L148" s="14">
        <f t="shared" si="53"/>
        <v>0</v>
      </c>
    </row>
    <row r="149" spans="1:12" ht="25.5">
      <c r="A149" s="18" t="s">
        <v>48</v>
      </c>
      <c r="B149" s="19" t="s">
        <v>389</v>
      </c>
      <c r="C149" s="14">
        <f t="shared" si="50"/>
        <v>36000</v>
      </c>
      <c r="D149" s="20">
        <v>36000</v>
      </c>
      <c r="E149" s="67">
        <v>0</v>
      </c>
      <c r="F149" s="17">
        <v>0</v>
      </c>
      <c r="G149" s="67">
        <v>0</v>
      </c>
      <c r="H149" s="17">
        <v>0</v>
      </c>
      <c r="I149" s="67">
        <v>0</v>
      </c>
      <c r="J149" s="17">
        <v>0</v>
      </c>
      <c r="K149" s="67">
        <v>0</v>
      </c>
      <c r="L149" s="20">
        <v>0</v>
      </c>
    </row>
    <row r="150" spans="1:12" ht="15">
      <c r="A150" s="18" t="s">
        <v>390</v>
      </c>
      <c r="B150" s="19" t="s">
        <v>633</v>
      </c>
      <c r="C150" s="14">
        <f t="shared" si="50"/>
        <v>3000</v>
      </c>
      <c r="D150" s="20">
        <v>3000</v>
      </c>
      <c r="E150" s="67">
        <v>0</v>
      </c>
      <c r="F150" s="17">
        <v>0</v>
      </c>
      <c r="G150" s="67">
        <v>0</v>
      </c>
      <c r="H150" s="17">
        <v>0</v>
      </c>
      <c r="I150" s="67">
        <v>0</v>
      </c>
      <c r="J150" s="17">
        <v>0</v>
      </c>
      <c r="K150" s="67">
        <v>0</v>
      </c>
      <c r="L150" s="20">
        <v>0</v>
      </c>
    </row>
    <row r="151" spans="1:12" ht="25.5">
      <c r="A151" s="12" t="s">
        <v>391</v>
      </c>
      <c r="B151" s="13" t="s">
        <v>392</v>
      </c>
      <c r="C151" s="14">
        <f>SUM(D151:L151)</f>
        <v>1752289</v>
      </c>
      <c r="D151" s="14">
        <f>SUM(D152:D156)</f>
        <v>903522</v>
      </c>
      <c r="E151" s="66">
        <f aca="true" t="shared" si="54" ref="E151:L151">SUM(E152:E156)</f>
        <v>0</v>
      </c>
      <c r="F151" s="14">
        <f t="shared" si="54"/>
        <v>190158</v>
      </c>
      <c r="G151" s="66">
        <f t="shared" si="54"/>
        <v>0</v>
      </c>
      <c r="H151" s="14">
        <f t="shared" si="54"/>
        <v>324442</v>
      </c>
      <c r="I151" s="66">
        <f t="shared" si="54"/>
        <v>0</v>
      </c>
      <c r="J151" s="14">
        <f t="shared" si="54"/>
        <v>0</v>
      </c>
      <c r="K151" s="66">
        <f t="shared" si="54"/>
        <v>0</v>
      </c>
      <c r="L151" s="14">
        <f t="shared" si="54"/>
        <v>334167</v>
      </c>
    </row>
    <row r="152" spans="1:12" ht="38.25">
      <c r="A152" s="18" t="s">
        <v>393</v>
      </c>
      <c r="B152" s="19" t="s">
        <v>394</v>
      </c>
      <c r="C152" s="14">
        <f t="shared" si="50"/>
        <v>1102938</v>
      </c>
      <c r="D152" s="20">
        <f>875986+20147-12611</f>
        <v>883522</v>
      </c>
      <c r="E152" s="67">
        <v>0</v>
      </c>
      <c r="F152" s="17">
        <f>136338+41993+900</f>
        <v>179231</v>
      </c>
      <c r="G152" s="67">
        <v>0</v>
      </c>
      <c r="H152" s="17">
        <v>0</v>
      </c>
      <c r="I152" s="67">
        <v>0</v>
      </c>
      <c r="J152" s="17">
        <v>0</v>
      </c>
      <c r="K152" s="67">
        <v>0</v>
      </c>
      <c r="L152" s="20">
        <v>40185</v>
      </c>
    </row>
    <row r="153" spans="1:12" ht="38.25">
      <c r="A153" s="18" t="s">
        <v>395</v>
      </c>
      <c r="B153" s="19" t="s">
        <v>396</v>
      </c>
      <c r="C153" s="14">
        <f t="shared" si="50"/>
        <v>358415</v>
      </c>
      <c r="D153" s="20">
        <v>0</v>
      </c>
      <c r="E153" s="67">
        <v>0</v>
      </c>
      <c r="F153" s="17">
        <f>10927</f>
        <v>10927</v>
      </c>
      <c r="G153" s="67">
        <v>0</v>
      </c>
      <c r="H153" s="17">
        <f>17291+7200+41942</f>
        <v>66433</v>
      </c>
      <c r="I153" s="67">
        <v>0</v>
      </c>
      <c r="J153" s="17">
        <v>0</v>
      </c>
      <c r="K153" s="67">
        <v>0</v>
      </c>
      <c r="L153" s="20">
        <v>281055</v>
      </c>
    </row>
    <row r="154" spans="1:12" ht="15">
      <c r="A154" s="18" t="s">
        <v>397</v>
      </c>
      <c r="B154" s="19" t="s">
        <v>398</v>
      </c>
      <c r="C154" s="14">
        <f aca="true" t="shared" si="55" ref="C154:C159">SUM(D154:L154)</f>
        <v>122861</v>
      </c>
      <c r="D154" s="20">
        <v>20000</v>
      </c>
      <c r="E154" s="67">
        <v>0</v>
      </c>
      <c r="F154" s="17">
        <v>0</v>
      </c>
      <c r="G154" s="67">
        <v>0</v>
      </c>
      <c r="H154" s="17">
        <v>89934</v>
      </c>
      <c r="I154" s="67">
        <v>0</v>
      </c>
      <c r="J154" s="17">
        <v>0</v>
      </c>
      <c r="K154" s="67">
        <v>0</v>
      </c>
      <c r="L154" s="20">
        <v>12927</v>
      </c>
    </row>
    <row r="155" spans="1:12" ht="38.25">
      <c r="A155" s="15" t="s">
        <v>399</v>
      </c>
      <c r="B155" s="16" t="s">
        <v>400</v>
      </c>
      <c r="C155" s="25">
        <f t="shared" si="55"/>
        <v>500</v>
      </c>
      <c r="D155" s="17">
        <v>0</v>
      </c>
      <c r="E155" s="67">
        <v>0</v>
      </c>
      <c r="F155" s="17">
        <v>0</v>
      </c>
      <c r="G155" s="67">
        <v>0</v>
      </c>
      <c r="H155" s="17">
        <v>500</v>
      </c>
      <c r="I155" s="67">
        <v>0</v>
      </c>
      <c r="J155" s="17">
        <v>0</v>
      </c>
      <c r="K155" s="67">
        <v>0</v>
      </c>
      <c r="L155" s="17">
        <v>0</v>
      </c>
    </row>
    <row r="156" spans="1:12" ht="38.25">
      <c r="A156" s="15" t="s">
        <v>733</v>
      </c>
      <c r="B156" s="16" t="s">
        <v>734</v>
      </c>
      <c r="C156" s="25">
        <f t="shared" si="55"/>
        <v>167575</v>
      </c>
      <c r="D156" s="17">
        <v>0</v>
      </c>
      <c r="E156" s="67">
        <v>0</v>
      </c>
      <c r="F156" s="17">
        <v>0</v>
      </c>
      <c r="G156" s="67">
        <v>0</v>
      </c>
      <c r="H156" s="17">
        <v>167575</v>
      </c>
      <c r="I156" s="67">
        <v>0</v>
      </c>
      <c r="J156" s="17">
        <v>0</v>
      </c>
      <c r="K156" s="67">
        <v>0</v>
      </c>
      <c r="L156" s="17">
        <v>0</v>
      </c>
    </row>
    <row r="157" spans="1:12" ht="15">
      <c r="A157" s="33" t="s">
        <v>693</v>
      </c>
      <c r="B157" s="24" t="s">
        <v>694</v>
      </c>
      <c r="C157" s="14">
        <f t="shared" si="55"/>
        <v>22036</v>
      </c>
      <c r="D157" s="14">
        <f>D158</f>
        <v>0</v>
      </c>
      <c r="E157" s="66">
        <f aca="true" t="shared" si="56" ref="E157:L157">E158</f>
        <v>0</v>
      </c>
      <c r="F157" s="14">
        <f t="shared" si="56"/>
        <v>0</v>
      </c>
      <c r="G157" s="66">
        <f t="shared" si="56"/>
        <v>0</v>
      </c>
      <c r="H157" s="14">
        <f t="shared" si="56"/>
        <v>14500</v>
      </c>
      <c r="I157" s="66">
        <f t="shared" si="56"/>
        <v>6583</v>
      </c>
      <c r="J157" s="14">
        <f t="shared" si="56"/>
        <v>0</v>
      </c>
      <c r="K157" s="66">
        <f t="shared" si="56"/>
        <v>0</v>
      </c>
      <c r="L157" s="14">
        <f t="shared" si="56"/>
        <v>953</v>
      </c>
    </row>
    <row r="158" spans="1:12" ht="21" customHeight="1">
      <c r="A158" s="38" t="s">
        <v>695</v>
      </c>
      <c r="B158" s="16" t="s">
        <v>696</v>
      </c>
      <c r="C158" s="25">
        <f t="shared" si="55"/>
        <v>22036</v>
      </c>
      <c r="D158" s="17">
        <v>0</v>
      </c>
      <c r="E158" s="67">
        <v>0</v>
      </c>
      <c r="F158" s="17">
        <v>0</v>
      </c>
      <c r="G158" s="67">
        <v>0</v>
      </c>
      <c r="H158" s="17">
        <v>14500</v>
      </c>
      <c r="I158" s="67">
        <v>6583</v>
      </c>
      <c r="J158" s="17">
        <v>0</v>
      </c>
      <c r="K158" s="67">
        <v>0</v>
      </c>
      <c r="L158" s="17">
        <v>953</v>
      </c>
    </row>
    <row r="159" spans="1:12" ht="15">
      <c r="A159" s="12" t="s">
        <v>401</v>
      </c>
      <c r="B159" s="13" t="s">
        <v>402</v>
      </c>
      <c r="C159" s="14">
        <f t="shared" si="55"/>
        <v>1887575</v>
      </c>
      <c r="D159" s="14">
        <f>SUM(D160:D162)</f>
        <v>1193197</v>
      </c>
      <c r="E159" s="70">
        <f aca="true" t="shared" si="57" ref="E159:L159">SUM(E160:E162)</f>
        <v>17150</v>
      </c>
      <c r="F159" s="25">
        <f t="shared" si="57"/>
        <v>264</v>
      </c>
      <c r="G159" s="70">
        <f t="shared" si="57"/>
        <v>0</v>
      </c>
      <c r="H159" s="25">
        <f t="shared" si="57"/>
        <v>497922</v>
      </c>
      <c r="I159" s="70">
        <f t="shared" si="57"/>
        <v>4752</v>
      </c>
      <c r="J159" s="25">
        <f t="shared" si="57"/>
        <v>0</v>
      </c>
      <c r="K159" s="70">
        <f t="shared" si="57"/>
        <v>0</v>
      </c>
      <c r="L159" s="14">
        <f t="shared" si="57"/>
        <v>174290</v>
      </c>
    </row>
    <row r="160" spans="1:12" ht="25.5">
      <c r="A160" s="18" t="s">
        <v>403</v>
      </c>
      <c r="B160" s="19" t="s">
        <v>404</v>
      </c>
      <c r="C160" s="14">
        <f t="shared" si="50"/>
        <v>1137627</v>
      </c>
      <c r="D160" s="20">
        <f>1126759+23231-46503</f>
        <v>1103487</v>
      </c>
      <c r="E160" s="67">
        <v>12000</v>
      </c>
      <c r="F160" s="17">
        <v>0</v>
      </c>
      <c r="G160" s="67">
        <v>0</v>
      </c>
      <c r="H160" s="17">
        <v>0</v>
      </c>
      <c r="I160" s="67">
        <v>4000</v>
      </c>
      <c r="J160" s="17">
        <v>0</v>
      </c>
      <c r="K160" s="67">
        <v>0</v>
      </c>
      <c r="L160" s="20">
        <v>18140</v>
      </c>
    </row>
    <row r="161" spans="1:12" ht="25.5">
      <c r="A161" s="15" t="s">
        <v>405</v>
      </c>
      <c r="B161" s="16" t="s">
        <v>406</v>
      </c>
      <c r="C161" s="25">
        <f t="shared" si="50"/>
        <v>654393</v>
      </c>
      <c r="D161" s="17">
        <v>0</v>
      </c>
      <c r="E161" s="67">
        <v>0</v>
      </c>
      <c r="F161" s="17">
        <v>23</v>
      </c>
      <c r="G161" s="67">
        <v>0</v>
      </c>
      <c r="H161" s="17">
        <f>250611+1569+245742</f>
        <v>497922</v>
      </c>
      <c r="I161" s="67">
        <v>752</v>
      </c>
      <c r="J161" s="17">
        <v>0</v>
      </c>
      <c r="K161" s="67">
        <v>0</v>
      </c>
      <c r="L161" s="17">
        <v>155696</v>
      </c>
    </row>
    <row r="162" spans="1:12" ht="25.5">
      <c r="A162" s="18" t="s">
        <v>407</v>
      </c>
      <c r="B162" s="19" t="s">
        <v>408</v>
      </c>
      <c r="C162" s="14">
        <f t="shared" si="50"/>
        <v>95555</v>
      </c>
      <c r="D162" s="20">
        <f>85608+4102</f>
        <v>89710</v>
      </c>
      <c r="E162" s="67">
        <v>5150</v>
      </c>
      <c r="F162" s="17">
        <v>241</v>
      </c>
      <c r="G162" s="67">
        <v>0</v>
      </c>
      <c r="H162" s="17">
        <v>0</v>
      </c>
      <c r="I162" s="67">
        <v>0</v>
      </c>
      <c r="J162" s="17">
        <v>0</v>
      </c>
      <c r="K162" s="67">
        <v>0</v>
      </c>
      <c r="L162" s="20">
        <v>454</v>
      </c>
    </row>
    <row r="163" spans="1:12" ht="25.5">
      <c r="A163" s="12" t="s">
        <v>409</v>
      </c>
      <c r="B163" s="13" t="s">
        <v>410</v>
      </c>
      <c r="C163" s="14">
        <f>SUM(D163:L163)</f>
        <v>94000</v>
      </c>
      <c r="D163" s="14">
        <f aca="true" t="shared" si="58" ref="D163:L163">D164+D165</f>
        <v>0</v>
      </c>
      <c r="E163" s="70">
        <f t="shared" si="58"/>
        <v>0</v>
      </c>
      <c r="F163" s="14">
        <f t="shared" si="58"/>
        <v>0</v>
      </c>
      <c r="G163" s="70">
        <f t="shared" si="58"/>
        <v>0</v>
      </c>
      <c r="H163" s="14">
        <f t="shared" si="58"/>
        <v>94000</v>
      </c>
      <c r="I163" s="70">
        <f t="shared" si="58"/>
        <v>0</v>
      </c>
      <c r="J163" s="14">
        <f t="shared" si="58"/>
        <v>0</v>
      </c>
      <c r="K163" s="70">
        <f t="shared" si="58"/>
        <v>0</v>
      </c>
      <c r="L163" s="14">
        <f t="shared" si="58"/>
        <v>0</v>
      </c>
    </row>
    <row r="164" spans="1:12" ht="38.25">
      <c r="A164" s="38" t="s">
        <v>697</v>
      </c>
      <c r="B164" s="16" t="s">
        <v>728</v>
      </c>
      <c r="C164" s="14">
        <f t="shared" si="50"/>
        <v>90000</v>
      </c>
      <c r="D164" s="20">
        <v>0</v>
      </c>
      <c r="E164" s="67">
        <v>0</v>
      </c>
      <c r="F164" s="17">
        <v>0</v>
      </c>
      <c r="G164" s="67">
        <v>0</v>
      </c>
      <c r="H164" s="17">
        <f>84648+5352</f>
        <v>90000</v>
      </c>
      <c r="I164" s="67">
        <v>0</v>
      </c>
      <c r="J164" s="17">
        <v>0</v>
      </c>
      <c r="K164" s="67">
        <v>0</v>
      </c>
      <c r="L164" s="20">
        <v>0</v>
      </c>
    </row>
    <row r="165" spans="1:12" ht="15">
      <c r="A165" s="38" t="s">
        <v>777</v>
      </c>
      <c r="B165" s="16" t="s">
        <v>778</v>
      </c>
      <c r="C165" s="14">
        <f>SUM(D165:L165)</f>
        <v>4000</v>
      </c>
      <c r="D165" s="20">
        <v>0</v>
      </c>
      <c r="E165" s="67">
        <v>0</v>
      </c>
      <c r="F165" s="17">
        <v>0</v>
      </c>
      <c r="G165" s="67">
        <v>0</v>
      </c>
      <c r="H165" s="17">
        <v>4000</v>
      </c>
      <c r="I165" s="67">
        <v>0</v>
      </c>
      <c r="J165" s="17">
        <v>0</v>
      </c>
      <c r="K165" s="67">
        <v>0</v>
      </c>
      <c r="L165" s="20">
        <v>0</v>
      </c>
    </row>
    <row r="166" spans="1:12" ht="15">
      <c r="A166" s="62" t="s">
        <v>52</v>
      </c>
      <c r="B166" s="63" t="s">
        <v>175</v>
      </c>
      <c r="C166" s="64">
        <f>SUM(D166:L166)</f>
        <v>12792429</v>
      </c>
      <c r="D166" s="64">
        <f>D167+D176+D179+D182+D184+D186+D196</f>
        <v>9048769</v>
      </c>
      <c r="E166" s="65">
        <f aca="true" t="shared" si="59" ref="E166:L166">E167+E176+E179+E183+E185+E186+E196</f>
        <v>-1055950</v>
      </c>
      <c r="F166" s="64">
        <f t="shared" si="59"/>
        <v>43837</v>
      </c>
      <c r="G166" s="65">
        <f t="shared" si="59"/>
        <v>0</v>
      </c>
      <c r="H166" s="64">
        <f t="shared" si="59"/>
        <v>4638786</v>
      </c>
      <c r="I166" s="65">
        <f t="shared" si="59"/>
        <v>-208025</v>
      </c>
      <c r="J166" s="64">
        <f t="shared" si="59"/>
        <v>0</v>
      </c>
      <c r="K166" s="65">
        <f t="shared" si="59"/>
        <v>0</v>
      </c>
      <c r="L166" s="64">
        <f t="shared" si="59"/>
        <v>325012</v>
      </c>
    </row>
    <row r="167" spans="1:12" ht="20.25" customHeight="1">
      <c r="A167" s="12" t="s">
        <v>411</v>
      </c>
      <c r="B167" s="13" t="s">
        <v>412</v>
      </c>
      <c r="C167" s="14">
        <f>SUM(D167:L167)</f>
        <v>2423112</v>
      </c>
      <c r="D167" s="14">
        <f>SUM(D168:D175)</f>
        <v>595906</v>
      </c>
      <c r="E167" s="66">
        <f aca="true" t="shared" si="60" ref="E167:L167">SUM(E168:E175)</f>
        <v>-96499</v>
      </c>
      <c r="F167" s="14">
        <f t="shared" si="60"/>
        <v>19012</v>
      </c>
      <c r="G167" s="66">
        <f t="shared" si="60"/>
        <v>0</v>
      </c>
      <c r="H167" s="14">
        <f t="shared" si="60"/>
        <v>1849490</v>
      </c>
      <c r="I167" s="66">
        <f t="shared" si="60"/>
        <v>836</v>
      </c>
      <c r="J167" s="14">
        <f t="shared" si="60"/>
        <v>0</v>
      </c>
      <c r="K167" s="66">
        <f t="shared" si="60"/>
        <v>0</v>
      </c>
      <c r="L167" s="14">
        <f t="shared" si="60"/>
        <v>54367</v>
      </c>
    </row>
    <row r="168" spans="1:12" ht="33" customHeight="1">
      <c r="A168" s="18" t="s">
        <v>413</v>
      </c>
      <c r="B168" s="19" t="s">
        <v>414</v>
      </c>
      <c r="C168" s="14">
        <f>SUM(D168:L168)</f>
        <v>1510510</v>
      </c>
      <c r="D168" s="20">
        <f>129641+2195</f>
        <v>131836</v>
      </c>
      <c r="E168" s="67">
        <v>-13099</v>
      </c>
      <c r="F168" s="17">
        <v>0</v>
      </c>
      <c r="G168" s="67">
        <v>0</v>
      </c>
      <c r="H168" s="17">
        <v>1388020</v>
      </c>
      <c r="I168" s="67">
        <v>0</v>
      </c>
      <c r="J168" s="20">
        <v>0</v>
      </c>
      <c r="K168" s="67">
        <v>0</v>
      </c>
      <c r="L168" s="20">
        <v>3753</v>
      </c>
    </row>
    <row r="169" spans="1:12" ht="15">
      <c r="A169" s="18" t="s">
        <v>415</v>
      </c>
      <c r="B169" s="19" t="s">
        <v>416</v>
      </c>
      <c r="C169" s="14">
        <f aca="true" t="shared" si="61" ref="C169:C181">SUM(D169:L169)</f>
        <v>81132</v>
      </c>
      <c r="D169" s="20">
        <f>81247+486+2672-140</f>
        <v>84265</v>
      </c>
      <c r="E169" s="67">
        <v>-17500</v>
      </c>
      <c r="F169" s="17">
        <v>10000</v>
      </c>
      <c r="G169" s="67">
        <v>0</v>
      </c>
      <c r="H169" s="17">
        <v>1535</v>
      </c>
      <c r="I169" s="67">
        <v>215</v>
      </c>
      <c r="J169" s="20">
        <v>0</v>
      </c>
      <c r="K169" s="67">
        <v>0</v>
      </c>
      <c r="L169" s="20">
        <v>2617</v>
      </c>
    </row>
    <row r="170" spans="1:12" ht="15">
      <c r="A170" s="18" t="s">
        <v>417</v>
      </c>
      <c r="B170" s="19" t="s">
        <v>418</v>
      </c>
      <c r="C170" s="14">
        <f t="shared" si="61"/>
        <v>81356</v>
      </c>
      <c r="D170" s="20">
        <f>86548-1171+1733-140</f>
        <v>86970</v>
      </c>
      <c r="E170" s="67">
        <v>-10500</v>
      </c>
      <c r="F170" s="17">
        <v>1597</v>
      </c>
      <c r="G170" s="67">
        <v>0</v>
      </c>
      <c r="H170" s="17">
        <f>3069+220</f>
        <v>3289</v>
      </c>
      <c r="I170" s="67">
        <v>0</v>
      </c>
      <c r="J170" s="20">
        <v>0</v>
      </c>
      <c r="K170" s="67">
        <v>0</v>
      </c>
      <c r="L170" s="20">
        <v>0</v>
      </c>
    </row>
    <row r="171" spans="1:12" ht="15">
      <c r="A171" s="18" t="s">
        <v>419</v>
      </c>
      <c r="B171" s="19" t="s">
        <v>420</v>
      </c>
      <c r="C171" s="14">
        <f t="shared" si="61"/>
        <v>78404</v>
      </c>
      <c r="D171" s="20">
        <f>74069+301+1148+2150</f>
        <v>77668</v>
      </c>
      <c r="E171" s="67">
        <v>-4000</v>
      </c>
      <c r="F171" s="17">
        <v>2240</v>
      </c>
      <c r="G171" s="67">
        <v>0</v>
      </c>
      <c r="H171" s="17">
        <f>1535+300</f>
        <v>1835</v>
      </c>
      <c r="I171" s="67">
        <v>621</v>
      </c>
      <c r="J171" s="20">
        <v>0</v>
      </c>
      <c r="K171" s="67">
        <v>0</v>
      </c>
      <c r="L171" s="20">
        <v>40</v>
      </c>
    </row>
    <row r="172" spans="1:12" ht="15">
      <c r="A172" s="18" t="s">
        <v>421</v>
      </c>
      <c r="B172" s="19" t="s">
        <v>422</v>
      </c>
      <c r="C172" s="14">
        <f t="shared" si="61"/>
        <v>134320</v>
      </c>
      <c r="D172" s="20">
        <f>53526+4573+1787</f>
        <v>59886</v>
      </c>
      <c r="E172" s="67">
        <v>-6000</v>
      </c>
      <c r="F172" s="17">
        <v>5175</v>
      </c>
      <c r="G172" s="67">
        <v>0</v>
      </c>
      <c r="H172" s="17">
        <f>66141+5311+540</f>
        <v>71992</v>
      </c>
      <c r="I172" s="67">
        <v>0</v>
      </c>
      <c r="J172" s="17">
        <v>0</v>
      </c>
      <c r="K172" s="67">
        <v>0</v>
      </c>
      <c r="L172" s="20">
        <v>3267</v>
      </c>
    </row>
    <row r="173" spans="1:12" ht="15">
      <c r="A173" s="18" t="s">
        <v>698</v>
      </c>
      <c r="B173" s="19" t="s">
        <v>699</v>
      </c>
      <c r="C173" s="14">
        <f t="shared" si="61"/>
        <v>20488</v>
      </c>
      <c r="D173" s="20">
        <f>130460-10641+3102-57640</f>
        <v>65281</v>
      </c>
      <c r="E173" s="67">
        <v>-45400</v>
      </c>
      <c r="F173" s="17">
        <v>0</v>
      </c>
      <c r="G173" s="67">
        <v>0</v>
      </c>
      <c r="H173" s="17">
        <f>1407-800</f>
        <v>607</v>
      </c>
      <c r="I173" s="67">
        <v>0</v>
      </c>
      <c r="J173" s="17">
        <v>0</v>
      </c>
      <c r="K173" s="67">
        <v>0</v>
      </c>
      <c r="L173" s="20">
        <v>0</v>
      </c>
    </row>
    <row r="174" spans="1:12" ht="15">
      <c r="A174" s="18" t="s">
        <v>423</v>
      </c>
      <c r="B174" s="19" t="s">
        <v>424</v>
      </c>
      <c r="C174" s="14">
        <f t="shared" si="61"/>
        <v>516902</v>
      </c>
      <c r="D174" s="20">
        <f>60000+30000</f>
        <v>90000</v>
      </c>
      <c r="E174" s="67">
        <v>0</v>
      </c>
      <c r="F174" s="17">
        <v>0</v>
      </c>
      <c r="G174" s="67">
        <v>0</v>
      </c>
      <c r="H174" s="17">
        <f>224529+157683</f>
        <v>382212</v>
      </c>
      <c r="I174" s="67">
        <v>0</v>
      </c>
      <c r="J174" s="17">
        <v>0</v>
      </c>
      <c r="K174" s="67">
        <v>0</v>
      </c>
      <c r="L174" s="20">
        <v>44690</v>
      </c>
    </row>
    <row r="175" spans="1:12" ht="15" hidden="1">
      <c r="A175" s="27"/>
      <c r="B175" s="28"/>
      <c r="C175" s="68">
        <f t="shared" si="61"/>
        <v>0</v>
      </c>
      <c r="D175" s="29"/>
      <c r="E175" s="69"/>
      <c r="F175" s="29"/>
      <c r="G175" s="69"/>
      <c r="H175" s="29"/>
      <c r="I175" s="69"/>
      <c r="J175" s="29"/>
      <c r="K175" s="69"/>
      <c r="L175" s="29"/>
    </row>
    <row r="176" spans="1:12" ht="15">
      <c r="A176" s="12" t="s">
        <v>425</v>
      </c>
      <c r="B176" s="13" t="s">
        <v>426</v>
      </c>
      <c r="C176" s="14">
        <f>SUM(D176:L176)</f>
        <v>1465171</v>
      </c>
      <c r="D176" s="14">
        <f>SUM(D177:D178)</f>
        <v>1336679</v>
      </c>
      <c r="E176" s="70">
        <f aca="true" t="shared" si="62" ref="E176:L176">SUM(E177:E178)</f>
        <v>35993</v>
      </c>
      <c r="F176" s="25">
        <f t="shared" si="62"/>
        <v>406</v>
      </c>
      <c r="G176" s="70">
        <f t="shared" si="62"/>
        <v>0</v>
      </c>
      <c r="H176" s="25">
        <f t="shared" si="62"/>
        <v>91161</v>
      </c>
      <c r="I176" s="70">
        <f t="shared" si="62"/>
        <v>593</v>
      </c>
      <c r="J176" s="25">
        <f t="shared" si="62"/>
        <v>0</v>
      </c>
      <c r="K176" s="66">
        <f t="shared" si="62"/>
        <v>0</v>
      </c>
      <c r="L176" s="14">
        <f t="shared" si="62"/>
        <v>339</v>
      </c>
    </row>
    <row r="177" spans="1:12" ht="25.5">
      <c r="A177" s="18" t="s">
        <v>427</v>
      </c>
      <c r="B177" s="19" t="s">
        <v>428</v>
      </c>
      <c r="C177" s="14">
        <f t="shared" si="61"/>
        <v>319907</v>
      </c>
      <c r="D177" s="20">
        <f>301472+8698+3723+4300</f>
        <v>318193</v>
      </c>
      <c r="E177" s="67">
        <v>-7000</v>
      </c>
      <c r="F177" s="17">
        <v>0</v>
      </c>
      <c r="G177" s="67">
        <v>0</v>
      </c>
      <c r="H177" s="17">
        <f>7671+450</f>
        <v>8121</v>
      </c>
      <c r="I177" s="67">
        <v>593</v>
      </c>
      <c r="J177" s="17">
        <v>0</v>
      </c>
      <c r="K177" s="67">
        <v>0</v>
      </c>
      <c r="L177" s="20">
        <v>0</v>
      </c>
    </row>
    <row r="178" spans="1:12" ht="15">
      <c r="A178" s="18" t="s">
        <v>429</v>
      </c>
      <c r="B178" s="19" t="s">
        <v>430</v>
      </c>
      <c r="C178" s="14">
        <f t="shared" si="61"/>
        <v>1145264</v>
      </c>
      <c r="D178" s="20">
        <f>967694-52013+102805</f>
        <v>1018486</v>
      </c>
      <c r="E178" s="67">
        <v>42993</v>
      </c>
      <c r="F178" s="17">
        <v>406</v>
      </c>
      <c r="G178" s="67">
        <v>0</v>
      </c>
      <c r="H178" s="17">
        <f>62708+11132+9200</f>
        <v>83040</v>
      </c>
      <c r="I178" s="67">
        <v>0</v>
      </c>
      <c r="J178" s="17">
        <v>0</v>
      </c>
      <c r="K178" s="67">
        <v>0</v>
      </c>
      <c r="L178" s="20">
        <v>339</v>
      </c>
    </row>
    <row r="179" spans="1:12" ht="15">
      <c r="A179" s="12" t="s">
        <v>431</v>
      </c>
      <c r="B179" s="13" t="s">
        <v>432</v>
      </c>
      <c r="C179" s="14">
        <f>SUM(D179:L179)</f>
        <v>1652799</v>
      </c>
      <c r="D179" s="14">
        <f aca="true" t="shared" si="63" ref="D179:L179">SUM(D180:D181)</f>
        <v>1429131</v>
      </c>
      <c r="E179" s="70">
        <f t="shared" si="63"/>
        <v>74031</v>
      </c>
      <c r="F179" s="25">
        <f t="shared" si="63"/>
        <v>9579</v>
      </c>
      <c r="G179" s="70">
        <f t="shared" si="63"/>
        <v>0</v>
      </c>
      <c r="H179" s="25">
        <f t="shared" si="63"/>
        <v>139741</v>
      </c>
      <c r="I179" s="70">
        <f t="shared" si="63"/>
        <v>0</v>
      </c>
      <c r="J179" s="25">
        <f t="shared" si="63"/>
        <v>0</v>
      </c>
      <c r="K179" s="66">
        <f t="shared" si="63"/>
        <v>0</v>
      </c>
      <c r="L179" s="14">
        <f t="shared" si="63"/>
        <v>317</v>
      </c>
    </row>
    <row r="180" spans="1:12" ht="38.25">
      <c r="A180" s="18" t="s">
        <v>433</v>
      </c>
      <c r="B180" s="19" t="s">
        <v>434</v>
      </c>
      <c r="C180" s="14">
        <f t="shared" si="61"/>
        <v>1425867</v>
      </c>
      <c r="D180" s="20">
        <f>1223780-19614</f>
        <v>1204166</v>
      </c>
      <c r="E180" s="67">
        <v>74031</v>
      </c>
      <c r="F180" s="17">
        <f>5850+3729</f>
        <v>9579</v>
      </c>
      <c r="G180" s="67">
        <v>0</v>
      </c>
      <c r="H180" s="17">
        <f>28068+78121+31902</f>
        <v>138091</v>
      </c>
      <c r="I180" s="67">
        <v>0</v>
      </c>
      <c r="J180" s="17">
        <v>0</v>
      </c>
      <c r="K180" s="67">
        <v>0</v>
      </c>
      <c r="L180" s="20">
        <v>0</v>
      </c>
    </row>
    <row r="181" spans="1:12" ht="25.5">
      <c r="A181" s="18" t="s">
        <v>435</v>
      </c>
      <c r="B181" s="19" t="s">
        <v>766</v>
      </c>
      <c r="C181" s="14">
        <f t="shared" si="61"/>
        <v>226932</v>
      </c>
      <c r="D181" s="20">
        <f>206442+5009+13514</f>
        <v>224965</v>
      </c>
      <c r="E181" s="67">
        <v>0</v>
      </c>
      <c r="F181" s="17">
        <v>0</v>
      </c>
      <c r="G181" s="67">
        <v>0</v>
      </c>
      <c r="H181" s="17">
        <v>1650</v>
      </c>
      <c r="I181" s="67">
        <v>0</v>
      </c>
      <c r="J181" s="17">
        <v>0</v>
      </c>
      <c r="K181" s="67">
        <v>0</v>
      </c>
      <c r="L181" s="20">
        <v>317</v>
      </c>
    </row>
    <row r="182" spans="1:12" ht="15">
      <c r="A182" s="12" t="s">
        <v>436</v>
      </c>
      <c r="B182" s="13" t="s">
        <v>437</v>
      </c>
      <c r="C182" s="14">
        <f>SUM(D182:L182)</f>
        <v>74784</v>
      </c>
      <c r="D182" s="14">
        <f>D183</f>
        <v>27984</v>
      </c>
      <c r="E182" s="66">
        <f aca="true" t="shared" si="64" ref="E182:L182">E183</f>
        <v>0</v>
      </c>
      <c r="F182" s="14">
        <f t="shared" si="64"/>
        <v>0</v>
      </c>
      <c r="G182" s="66">
        <f t="shared" si="64"/>
        <v>0</v>
      </c>
      <c r="H182" s="14">
        <f t="shared" si="64"/>
        <v>46800</v>
      </c>
      <c r="I182" s="66">
        <f t="shared" si="64"/>
        <v>0</v>
      </c>
      <c r="J182" s="14">
        <f t="shared" si="64"/>
        <v>0</v>
      </c>
      <c r="K182" s="66">
        <f t="shared" si="64"/>
        <v>0</v>
      </c>
      <c r="L182" s="14">
        <f t="shared" si="64"/>
        <v>0</v>
      </c>
    </row>
    <row r="183" spans="1:12" ht="15">
      <c r="A183" s="18" t="s">
        <v>438</v>
      </c>
      <c r="B183" s="19" t="s">
        <v>437</v>
      </c>
      <c r="C183" s="14">
        <f>SUM(D183:L183)</f>
        <v>74784</v>
      </c>
      <c r="D183" s="20">
        <v>27984</v>
      </c>
      <c r="E183" s="67">
        <v>0</v>
      </c>
      <c r="F183" s="17">
        <v>0</v>
      </c>
      <c r="G183" s="67">
        <v>0</v>
      </c>
      <c r="H183" s="17">
        <v>46800</v>
      </c>
      <c r="I183" s="67">
        <v>0</v>
      </c>
      <c r="J183" s="17">
        <v>0</v>
      </c>
      <c r="K183" s="67">
        <v>0</v>
      </c>
      <c r="L183" s="20">
        <v>0</v>
      </c>
    </row>
    <row r="184" spans="1:12" ht="15">
      <c r="A184" s="12" t="s">
        <v>439</v>
      </c>
      <c r="B184" s="13" t="s">
        <v>440</v>
      </c>
      <c r="C184" s="14">
        <f>SUM(D184:L184)</f>
        <v>759261</v>
      </c>
      <c r="D184" s="14">
        <f>D185</f>
        <v>322646</v>
      </c>
      <c r="E184" s="66">
        <f aca="true" t="shared" si="65" ref="E184:L184">E185</f>
        <v>26600</v>
      </c>
      <c r="F184" s="14">
        <f t="shared" si="65"/>
        <v>0</v>
      </c>
      <c r="G184" s="66">
        <f t="shared" si="65"/>
        <v>0</v>
      </c>
      <c r="H184" s="14">
        <f t="shared" si="65"/>
        <v>410015</v>
      </c>
      <c r="I184" s="66">
        <f t="shared" si="65"/>
        <v>0</v>
      </c>
      <c r="J184" s="14">
        <f t="shared" si="65"/>
        <v>0</v>
      </c>
      <c r="K184" s="66">
        <f t="shared" si="65"/>
        <v>0</v>
      </c>
      <c r="L184" s="14">
        <f t="shared" si="65"/>
        <v>0</v>
      </c>
    </row>
    <row r="185" spans="1:12" ht="32.25" customHeight="1">
      <c r="A185" s="18" t="s">
        <v>441</v>
      </c>
      <c r="B185" s="19" t="s">
        <v>700</v>
      </c>
      <c r="C185" s="14">
        <f>SUM(D185:L185)</f>
        <v>759261</v>
      </c>
      <c r="D185" s="20">
        <v>322646</v>
      </c>
      <c r="E185" s="67">
        <v>26600</v>
      </c>
      <c r="F185" s="17">
        <v>0</v>
      </c>
      <c r="G185" s="67">
        <v>0</v>
      </c>
      <c r="H185" s="17">
        <f>310046+101800-1831</f>
        <v>410015</v>
      </c>
      <c r="I185" s="67">
        <v>0</v>
      </c>
      <c r="J185" s="17">
        <v>0</v>
      </c>
      <c r="K185" s="67">
        <v>0</v>
      </c>
      <c r="L185" s="20">
        <v>0</v>
      </c>
    </row>
    <row r="186" spans="1:12" ht="25.5">
      <c r="A186" s="12" t="s">
        <v>442</v>
      </c>
      <c r="B186" s="13" t="s">
        <v>443</v>
      </c>
      <c r="C186" s="14">
        <f>SUM(D186:L186)</f>
        <v>3963302</v>
      </c>
      <c r="D186" s="14">
        <f>SUM(D187:D195)</f>
        <v>3585214</v>
      </c>
      <c r="E186" s="66">
        <f aca="true" t="shared" si="66" ref="E186:L186">SUM(E187:E195)</f>
        <v>-1013775</v>
      </c>
      <c r="F186" s="14">
        <f t="shared" si="66"/>
        <v>14840</v>
      </c>
      <c r="G186" s="66">
        <f t="shared" si="66"/>
        <v>0</v>
      </c>
      <c r="H186" s="14">
        <f t="shared" si="66"/>
        <v>1124414</v>
      </c>
      <c r="I186" s="66">
        <f t="shared" si="66"/>
        <v>585</v>
      </c>
      <c r="J186" s="14">
        <f t="shared" si="66"/>
        <v>0</v>
      </c>
      <c r="K186" s="66">
        <f t="shared" si="66"/>
        <v>0</v>
      </c>
      <c r="L186" s="14">
        <f t="shared" si="66"/>
        <v>252024</v>
      </c>
    </row>
    <row r="187" spans="1:12" ht="15">
      <c r="A187" s="18" t="s">
        <v>444</v>
      </c>
      <c r="B187" s="19" t="s">
        <v>445</v>
      </c>
      <c r="C187" s="14">
        <f aca="true" t="shared" si="67" ref="C187:C200">SUM(D187:L187)</f>
        <v>10528</v>
      </c>
      <c r="D187" s="20">
        <v>9179</v>
      </c>
      <c r="E187" s="67">
        <v>1000</v>
      </c>
      <c r="F187" s="17">
        <v>110</v>
      </c>
      <c r="G187" s="67">
        <v>0</v>
      </c>
      <c r="H187" s="17">
        <v>0</v>
      </c>
      <c r="I187" s="67">
        <v>0</v>
      </c>
      <c r="J187" s="17">
        <v>0</v>
      </c>
      <c r="K187" s="67">
        <v>0</v>
      </c>
      <c r="L187" s="20">
        <v>239</v>
      </c>
    </row>
    <row r="188" spans="1:12" ht="51">
      <c r="A188" s="18" t="s">
        <v>446</v>
      </c>
      <c r="B188" s="19" t="s">
        <v>447</v>
      </c>
      <c r="C188" s="14">
        <f t="shared" si="67"/>
        <v>554500</v>
      </c>
      <c r="D188" s="20">
        <f>146630+3540+1500</f>
        <v>151670</v>
      </c>
      <c r="E188" s="67">
        <v>44470</v>
      </c>
      <c r="F188" s="17">
        <v>0</v>
      </c>
      <c r="G188" s="67">
        <v>0</v>
      </c>
      <c r="H188" s="17">
        <f>597340-238980</f>
        <v>358360</v>
      </c>
      <c r="I188" s="67">
        <v>0</v>
      </c>
      <c r="J188" s="17">
        <v>0</v>
      </c>
      <c r="K188" s="67">
        <v>0</v>
      </c>
      <c r="L188" s="20">
        <v>0</v>
      </c>
    </row>
    <row r="189" spans="1:12" ht="15">
      <c r="A189" s="18" t="s">
        <v>448</v>
      </c>
      <c r="B189" s="19" t="s">
        <v>449</v>
      </c>
      <c r="C189" s="14">
        <f t="shared" si="67"/>
        <v>87293</v>
      </c>
      <c r="D189" s="20">
        <f>84657+1105+2016-3000</f>
        <v>84778</v>
      </c>
      <c r="E189" s="67">
        <v>-4000</v>
      </c>
      <c r="F189" s="17">
        <v>4380</v>
      </c>
      <c r="G189" s="67">
        <v>0</v>
      </c>
      <c r="H189" s="17">
        <f>1535+600</f>
        <v>2135</v>
      </c>
      <c r="I189" s="67">
        <v>0</v>
      </c>
      <c r="J189" s="17">
        <v>0</v>
      </c>
      <c r="K189" s="67">
        <v>0</v>
      </c>
      <c r="L189" s="20">
        <v>0</v>
      </c>
    </row>
    <row r="190" spans="1:12" ht="15">
      <c r="A190" s="18" t="s">
        <v>450</v>
      </c>
      <c r="B190" s="19" t="s">
        <v>451</v>
      </c>
      <c r="C190" s="14">
        <f t="shared" si="67"/>
        <v>32385</v>
      </c>
      <c r="D190" s="20">
        <f>28206+727+328+300</f>
        <v>29561</v>
      </c>
      <c r="E190" s="67">
        <v>100</v>
      </c>
      <c r="F190" s="17">
        <v>2500</v>
      </c>
      <c r="G190" s="67">
        <v>0</v>
      </c>
      <c r="H190" s="17">
        <v>224</v>
      </c>
      <c r="I190" s="67">
        <v>0</v>
      </c>
      <c r="J190" s="17">
        <v>0</v>
      </c>
      <c r="K190" s="67">
        <v>0</v>
      </c>
      <c r="L190" s="20">
        <v>0</v>
      </c>
    </row>
    <row r="191" spans="1:12" ht="15">
      <c r="A191" s="18" t="s">
        <v>452</v>
      </c>
      <c r="B191" s="19" t="s">
        <v>453</v>
      </c>
      <c r="C191" s="14">
        <f t="shared" si="67"/>
        <v>262304</v>
      </c>
      <c r="D191" s="20">
        <f>230607+11315+6021-5500</f>
        <v>242443</v>
      </c>
      <c r="E191" s="67">
        <v>-1161</v>
      </c>
      <c r="F191" s="17">
        <f>7550+300</f>
        <v>7850</v>
      </c>
      <c r="G191" s="67">
        <v>0</v>
      </c>
      <c r="H191" s="17">
        <f>7671+800</f>
        <v>8471</v>
      </c>
      <c r="I191" s="67">
        <v>465</v>
      </c>
      <c r="J191" s="17">
        <v>0</v>
      </c>
      <c r="K191" s="67">
        <v>0</v>
      </c>
      <c r="L191" s="20">
        <v>4236</v>
      </c>
    </row>
    <row r="192" spans="1:12" ht="38.25">
      <c r="A192" s="18" t="s">
        <v>454</v>
      </c>
      <c r="B192" s="19" t="s">
        <v>603</v>
      </c>
      <c r="C192" s="14">
        <f t="shared" si="67"/>
        <v>2218439</v>
      </c>
      <c r="D192" s="20">
        <f>2511692+11200+11684</f>
        <v>2534576</v>
      </c>
      <c r="E192" s="67">
        <v>-1000908</v>
      </c>
      <c r="F192" s="17">
        <v>0</v>
      </c>
      <c r="G192" s="67">
        <v>0</v>
      </c>
      <c r="H192" s="17">
        <v>437222</v>
      </c>
      <c r="I192" s="67">
        <v>0</v>
      </c>
      <c r="J192" s="17">
        <v>0</v>
      </c>
      <c r="K192" s="67">
        <v>0</v>
      </c>
      <c r="L192" s="20">
        <v>247549</v>
      </c>
    </row>
    <row r="193" spans="1:12" ht="51">
      <c r="A193" s="18" t="s">
        <v>604</v>
      </c>
      <c r="B193" s="19" t="s">
        <v>605</v>
      </c>
      <c r="C193" s="14">
        <f t="shared" si="67"/>
        <v>774695</v>
      </c>
      <c r="D193" s="20">
        <v>506437</v>
      </c>
      <c r="E193" s="67">
        <v>-48776</v>
      </c>
      <c r="F193" s="17">
        <v>0</v>
      </c>
      <c r="G193" s="67">
        <v>0</v>
      </c>
      <c r="H193" s="17">
        <v>317034</v>
      </c>
      <c r="I193" s="67">
        <v>0</v>
      </c>
      <c r="J193" s="17">
        <v>0</v>
      </c>
      <c r="K193" s="67">
        <v>0</v>
      </c>
      <c r="L193" s="20">
        <v>0</v>
      </c>
    </row>
    <row r="194" spans="1:12" ht="15">
      <c r="A194" s="111" t="s">
        <v>701</v>
      </c>
      <c r="B194" s="16" t="s">
        <v>702</v>
      </c>
      <c r="C194" s="14">
        <f t="shared" si="67"/>
        <v>23158</v>
      </c>
      <c r="D194" s="20">
        <f>48834+2465+1341-26070</f>
        <v>26570</v>
      </c>
      <c r="E194" s="67">
        <v>-4500</v>
      </c>
      <c r="F194" s="17">
        <v>0</v>
      </c>
      <c r="G194" s="67">
        <v>0</v>
      </c>
      <c r="H194" s="17">
        <f>768+200</f>
        <v>968</v>
      </c>
      <c r="I194" s="67">
        <v>120</v>
      </c>
      <c r="J194" s="17">
        <v>0</v>
      </c>
      <c r="K194" s="67">
        <v>0</v>
      </c>
      <c r="L194" s="20">
        <v>0</v>
      </c>
    </row>
    <row r="195" spans="1:12" ht="15" hidden="1">
      <c r="A195" s="111" t="s">
        <v>703</v>
      </c>
      <c r="B195" s="16" t="s">
        <v>704</v>
      </c>
      <c r="C195" s="14">
        <f t="shared" si="67"/>
        <v>0</v>
      </c>
      <c r="D195" s="20">
        <f>12598-12598</f>
        <v>0</v>
      </c>
      <c r="E195" s="67">
        <v>0</v>
      </c>
      <c r="F195" s="17">
        <v>0</v>
      </c>
      <c r="G195" s="67">
        <v>0</v>
      </c>
      <c r="H195" s="17">
        <v>0</v>
      </c>
      <c r="I195" s="67">
        <v>0</v>
      </c>
      <c r="J195" s="17">
        <v>0</v>
      </c>
      <c r="K195" s="67">
        <v>0</v>
      </c>
      <c r="L195" s="20">
        <v>0</v>
      </c>
    </row>
    <row r="196" spans="1:12" ht="25.5">
      <c r="A196" s="12" t="s">
        <v>455</v>
      </c>
      <c r="B196" s="13" t="s">
        <v>456</v>
      </c>
      <c r="C196" s="14">
        <f>SUM(D196:L196)</f>
        <v>2454000</v>
      </c>
      <c r="D196" s="14">
        <f>SUM(D197:D200)</f>
        <v>1751209</v>
      </c>
      <c r="E196" s="70">
        <f aca="true" t="shared" si="68" ref="E196:L196">SUM(E197:E200)</f>
        <v>-82300</v>
      </c>
      <c r="F196" s="25">
        <f t="shared" si="68"/>
        <v>0</v>
      </c>
      <c r="G196" s="70">
        <f t="shared" si="68"/>
        <v>0</v>
      </c>
      <c r="H196" s="25">
        <f t="shared" si="68"/>
        <v>977165</v>
      </c>
      <c r="I196" s="70">
        <f t="shared" si="68"/>
        <v>-210039</v>
      </c>
      <c r="J196" s="25">
        <f t="shared" si="68"/>
        <v>0</v>
      </c>
      <c r="K196" s="66">
        <f t="shared" si="68"/>
        <v>0</v>
      </c>
      <c r="L196" s="14">
        <f t="shared" si="68"/>
        <v>17965</v>
      </c>
    </row>
    <row r="197" spans="1:12" ht="25.5">
      <c r="A197" s="18" t="s">
        <v>457</v>
      </c>
      <c r="B197" s="19" t="s">
        <v>458</v>
      </c>
      <c r="C197" s="14">
        <f t="shared" si="67"/>
        <v>1363743</v>
      </c>
      <c r="D197" s="20">
        <f>1222221+53769+34136+45638</f>
        <v>1355764</v>
      </c>
      <c r="E197" s="67">
        <v>-100000</v>
      </c>
      <c r="F197" s="17">
        <v>0</v>
      </c>
      <c r="G197" s="67">
        <v>0</v>
      </c>
      <c r="H197" s="17">
        <f>42958+44748</f>
        <v>87706</v>
      </c>
      <c r="I197" s="67">
        <v>2308</v>
      </c>
      <c r="J197" s="17">
        <v>0</v>
      </c>
      <c r="K197" s="67">
        <v>0</v>
      </c>
      <c r="L197" s="20">
        <v>17965</v>
      </c>
    </row>
    <row r="198" spans="1:12" ht="25.5">
      <c r="A198" s="18" t="s">
        <v>459</v>
      </c>
      <c r="B198" s="19" t="s">
        <v>460</v>
      </c>
      <c r="C198" s="14">
        <f>SUM(D198:L198)</f>
        <v>283563</v>
      </c>
      <c r="D198" s="20">
        <f>13445</f>
        <v>13445</v>
      </c>
      <c r="E198" s="67">
        <v>17700</v>
      </c>
      <c r="F198" s="17">
        <v>0</v>
      </c>
      <c r="G198" s="67">
        <v>0</v>
      </c>
      <c r="H198" s="17">
        <f>3975+162443+86000</f>
        <v>252418</v>
      </c>
      <c r="I198" s="67">
        <v>0</v>
      </c>
      <c r="J198" s="17">
        <v>0</v>
      </c>
      <c r="K198" s="67">
        <v>0</v>
      </c>
      <c r="L198" s="20">
        <v>0</v>
      </c>
    </row>
    <row r="199" spans="1:12" ht="25.5">
      <c r="A199" s="18" t="s">
        <v>461</v>
      </c>
      <c r="B199" s="19" t="s">
        <v>462</v>
      </c>
      <c r="C199" s="14">
        <f>SUM(D199:L199)</f>
        <v>382000</v>
      </c>
      <c r="D199" s="20">
        <f>253000+129000</f>
        <v>382000</v>
      </c>
      <c r="E199" s="67">
        <v>0</v>
      </c>
      <c r="F199" s="20">
        <v>0</v>
      </c>
      <c r="G199" s="67">
        <v>0</v>
      </c>
      <c r="H199" s="20">
        <v>0</v>
      </c>
      <c r="I199" s="67">
        <v>0</v>
      </c>
      <c r="J199" s="20">
        <v>0</v>
      </c>
      <c r="K199" s="67">
        <v>0</v>
      </c>
      <c r="L199" s="20">
        <v>0</v>
      </c>
    </row>
    <row r="200" spans="1:12" ht="38.25">
      <c r="A200" s="15" t="s">
        <v>779</v>
      </c>
      <c r="B200" s="16" t="s">
        <v>780</v>
      </c>
      <c r="C200" s="25">
        <f t="shared" si="67"/>
        <v>424694</v>
      </c>
      <c r="D200" s="17">
        <v>0</v>
      </c>
      <c r="E200" s="67">
        <v>0</v>
      </c>
      <c r="F200" s="17">
        <v>0</v>
      </c>
      <c r="G200" s="67">
        <v>0</v>
      </c>
      <c r="H200" s="17">
        <v>637041</v>
      </c>
      <c r="I200" s="67">
        <v>-212347</v>
      </c>
      <c r="J200" s="17">
        <v>0</v>
      </c>
      <c r="K200" s="67">
        <v>0</v>
      </c>
      <c r="L200" s="17">
        <v>0</v>
      </c>
    </row>
    <row r="201" spans="1:12" ht="15">
      <c r="A201" s="61"/>
      <c r="B201" s="74" t="s">
        <v>176</v>
      </c>
      <c r="C201" s="11">
        <f aca="true" t="shared" si="69" ref="C201:C209">SUM(D201:L201)</f>
        <v>5513870</v>
      </c>
      <c r="D201" s="11">
        <f>D202+D203+D209</f>
        <v>364284</v>
      </c>
      <c r="E201" s="132">
        <f aca="true" t="shared" si="70" ref="E201:L201">E202+E203+E209</f>
        <v>0</v>
      </c>
      <c r="F201" s="11">
        <f t="shared" si="70"/>
        <v>0</v>
      </c>
      <c r="G201" s="132">
        <f t="shared" si="70"/>
        <v>0</v>
      </c>
      <c r="H201" s="11">
        <f t="shared" si="70"/>
        <v>380270</v>
      </c>
      <c r="I201" s="132">
        <f t="shared" si="70"/>
        <v>0</v>
      </c>
      <c r="J201" s="11">
        <f t="shared" si="70"/>
        <v>0</v>
      </c>
      <c r="K201" s="132">
        <f t="shared" si="70"/>
        <v>0</v>
      </c>
      <c r="L201" s="11">
        <f t="shared" si="70"/>
        <v>4769316</v>
      </c>
    </row>
    <row r="202" spans="1:12" ht="15">
      <c r="A202" s="12" t="s">
        <v>177</v>
      </c>
      <c r="B202" s="13" t="s">
        <v>178</v>
      </c>
      <c r="C202" s="14">
        <f t="shared" si="69"/>
        <v>5149586</v>
      </c>
      <c r="D202" s="14">
        <v>0</v>
      </c>
      <c r="E202" s="67">
        <v>0</v>
      </c>
      <c r="F202" s="25">
        <v>0</v>
      </c>
      <c r="G202" s="67">
        <v>0</v>
      </c>
      <c r="H202" s="25">
        <v>380270</v>
      </c>
      <c r="I202" s="67">
        <v>0</v>
      </c>
      <c r="J202" s="25">
        <v>0</v>
      </c>
      <c r="K202" s="67">
        <v>0</v>
      </c>
      <c r="L202" s="14">
        <v>4769316</v>
      </c>
    </row>
    <row r="203" spans="1:12" ht="25.5">
      <c r="A203" s="12" t="s">
        <v>179</v>
      </c>
      <c r="B203" s="13" t="s">
        <v>180</v>
      </c>
      <c r="C203" s="14">
        <f t="shared" si="69"/>
        <v>359682</v>
      </c>
      <c r="D203" s="14">
        <f>SUM(D204:D208)</f>
        <v>359682</v>
      </c>
      <c r="E203" s="70">
        <f aca="true" t="shared" si="71" ref="E203:L203">SUM(E204:E208)</f>
        <v>0</v>
      </c>
      <c r="F203" s="25">
        <f t="shared" si="71"/>
        <v>0</v>
      </c>
      <c r="G203" s="70">
        <f t="shared" si="71"/>
        <v>0</v>
      </c>
      <c r="H203" s="25">
        <f t="shared" si="71"/>
        <v>0</v>
      </c>
      <c r="I203" s="70">
        <f t="shared" si="71"/>
        <v>0</v>
      </c>
      <c r="J203" s="25">
        <f t="shared" si="71"/>
        <v>0</v>
      </c>
      <c r="K203" s="66">
        <f t="shared" si="71"/>
        <v>0</v>
      </c>
      <c r="L203" s="14">
        <f t="shared" si="71"/>
        <v>0</v>
      </c>
    </row>
    <row r="204" spans="1:12" ht="25.5" hidden="1">
      <c r="A204" s="97"/>
      <c r="B204" s="28" t="s">
        <v>463</v>
      </c>
      <c r="C204" s="68">
        <f t="shared" si="69"/>
        <v>0</v>
      </c>
      <c r="D204" s="29">
        <v>0</v>
      </c>
      <c r="E204" s="69">
        <v>0</v>
      </c>
      <c r="F204" s="29">
        <v>0</v>
      </c>
      <c r="G204" s="69">
        <v>0</v>
      </c>
      <c r="H204" s="29">
        <v>0</v>
      </c>
      <c r="I204" s="69">
        <v>0</v>
      </c>
      <c r="J204" s="29">
        <v>0</v>
      </c>
      <c r="K204" s="69">
        <v>0</v>
      </c>
      <c r="L204" s="120">
        <v>0</v>
      </c>
    </row>
    <row r="205" spans="1:12" ht="15" hidden="1">
      <c r="A205" s="97"/>
      <c r="B205" s="28" t="s">
        <v>182</v>
      </c>
      <c r="C205" s="68">
        <f t="shared" si="69"/>
        <v>0</v>
      </c>
      <c r="D205" s="29"/>
      <c r="E205" s="69"/>
      <c r="F205" s="29"/>
      <c r="G205" s="69"/>
      <c r="H205" s="29"/>
      <c r="I205" s="69"/>
      <c r="J205" s="29"/>
      <c r="K205" s="69"/>
      <c r="L205" s="120"/>
    </row>
    <row r="206" spans="1:12" ht="15">
      <c r="A206" s="40"/>
      <c r="B206" s="19" t="s">
        <v>183</v>
      </c>
      <c r="C206" s="14">
        <f t="shared" si="69"/>
        <v>359682</v>
      </c>
      <c r="D206" s="20">
        <v>359682</v>
      </c>
      <c r="E206" s="67">
        <v>0</v>
      </c>
      <c r="F206" s="17">
        <v>0</v>
      </c>
      <c r="G206" s="67">
        <v>0</v>
      </c>
      <c r="H206" s="17">
        <v>0</v>
      </c>
      <c r="I206" s="118">
        <v>0</v>
      </c>
      <c r="J206" s="20">
        <v>0</v>
      </c>
      <c r="K206" s="118">
        <v>0</v>
      </c>
      <c r="L206" s="121">
        <v>0</v>
      </c>
    </row>
    <row r="207" spans="1:12" ht="15" hidden="1">
      <c r="A207" s="97"/>
      <c r="B207" s="28" t="s">
        <v>184</v>
      </c>
      <c r="C207" s="68">
        <f t="shared" si="69"/>
        <v>0</v>
      </c>
      <c r="D207" s="29">
        <v>0</v>
      </c>
      <c r="E207" s="69">
        <v>0</v>
      </c>
      <c r="F207" s="29">
        <v>0</v>
      </c>
      <c r="G207" s="69">
        <v>0</v>
      </c>
      <c r="H207" s="29">
        <v>0</v>
      </c>
      <c r="I207" s="69">
        <v>0</v>
      </c>
      <c r="J207" s="29">
        <v>0</v>
      </c>
      <c r="K207" s="69">
        <v>0</v>
      </c>
      <c r="L207" s="120">
        <v>0</v>
      </c>
    </row>
    <row r="208" spans="1:12" ht="15" hidden="1">
      <c r="A208" s="97"/>
      <c r="B208" s="28" t="s">
        <v>185</v>
      </c>
      <c r="C208" s="68">
        <f t="shared" si="69"/>
        <v>0</v>
      </c>
      <c r="D208" s="29">
        <v>0</v>
      </c>
      <c r="E208" s="69">
        <v>0</v>
      </c>
      <c r="F208" s="29">
        <v>0</v>
      </c>
      <c r="G208" s="69">
        <v>0</v>
      </c>
      <c r="H208" s="29">
        <v>0</v>
      </c>
      <c r="I208" s="69">
        <v>0</v>
      </c>
      <c r="J208" s="29">
        <v>0</v>
      </c>
      <c r="K208" s="69">
        <v>0</v>
      </c>
      <c r="L208" s="120">
        <v>0</v>
      </c>
    </row>
    <row r="209" spans="1:12" ht="25.5">
      <c r="A209" s="12" t="s">
        <v>145</v>
      </c>
      <c r="B209" s="13" t="s">
        <v>186</v>
      </c>
      <c r="C209" s="14">
        <f t="shared" si="69"/>
        <v>4602</v>
      </c>
      <c r="D209" s="122">
        <f>2165917-516184-859576-785555</f>
        <v>4602</v>
      </c>
      <c r="E209" s="67">
        <v>0</v>
      </c>
      <c r="F209" s="34">
        <v>0</v>
      </c>
      <c r="G209" s="123">
        <v>0</v>
      </c>
      <c r="H209" s="34">
        <v>0</v>
      </c>
      <c r="I209" s="123">
        <v>0</v>
      </c>
      <c r="J209" s="122">
        <v>0</v>
      </c>
      <c r="K209" s="124">
        <v>0</v>
      </c>
      <c r="L209" s="122">
        <v>0</v>
      </c>
    </row>
    <row r="210" spans="1:12" ht="15">
      <c r="A210" s="98"/>
      <c r="B210" s="75" t="s">
        <v>464</v>
      </c>
      <c r="C210" s="125">
        <f>C11+C201</f>
        <v>114846953</v>
      </c>
      <c r="D210" s="125">
        <f aca="true" t="shared" si="72" ref="D210:L210">D11+D201</f>
        <v>71233078</v>
      </c>
      <c r="E210" s="126">
        <f t="shared" si="72"/>
        <v>-2465449</v>
      </c>
      <c r="F210" s="125">
        <f t="shared" si="72"/>
        <v>1688193</v>
      </c>
      <c r="G210" s="126">
        <f t="shared" si="72"/>
        <v>14228</v>
      </c>
      <c r="H210" s="125">
        <f t="shared" si="72"/>
        <v>33401256</v>
      </c>
      <c r="I210" s="126">
        <f t="shared" si="72"/>
        <v>-181576</v>
      </c>
      <c r="J210" s="125">
        <f t="shared" si="72"/>
        <v>659769</v>
      </c>
      <c r="K210" s="126">
        <f t="shared" si="72"/>
        <v>68141</v>
      </c>
      <c r="L210" s="125">
        <f t="shared" si="72"/>
        <v>10429313</v>
      </c>
    </row>
    <row r="211" spans="1:12" ht="15">
      <c r="A211" s="112"/>
      <c r="B211" s="113"/>
      <c r="C211" s="334"/>
      <c r="D211" s="112"/>
      <c r="E211" s="128"/>
      <c r="F211" s="112"/>
      <c r="G211" s="128"/>
      <c r="H211" s="112"/>
      <c r="I211" s="128"/>
      <c r="J211" s="112"/>
      <c r="K211" s="128"/>
      <c r="L211" s="3"/>
    </row>
    <row r="212" spans="1:12" ht="18.75">
      <c r="A212" s="432" t="s">
        <v>150</v>
      </c>
      <c r="B212" s="432"/>
      <c r="C212" s="129"/>
      <c r="D212" s="91"/>
      <c r="E212" s="130"/>
      <c r="F212" s="91"/>
      <c r="G212" s="131"/>
      <c r="H212" s="91"/>
      <c r="I212" s="131"/>
      <c r="J212" s="91"/>
      <c r="K212" s="433" t="s">
        <v>151</v>
      </c>
      <c r="L212" s="433"/>
    </row>
    <row r="213" spans="1:12" ht="15">
      <c r="A213" s="112"/>
      <c r="B213" s="113"/>
      <c r="C213" s="127"/>
      <c r="D213" s="112"/>
      <c r="E213" s="128"/>
      <c r="F213" s="112"/>
      <c r="G213" s="128"/>
      <c r="H213" s="112"/>
      <c r="I213" s="128"/>
      <c r="J213" s="112"/>
      <c r="K213" s="128"/>
      <c r="L213" s="3"/>
    </row>
    <row r="214" spans="1:12" ht="15">
      <c r="A214" s="112"/>
      <c r="B214" s="113"/>
      <c r="C214" s="127"/>
      <c r="D214" s="112"/>
      <c r="E214" s="286"/>
      <c r="F214" s="112"/>
      <c r="G214" s="128"/>
      <c r="H214" s="112"/>
      <c r="I214" s="128"/>
      <c r="J214" s="112"/>
      <c r="K214" s="128"/>
      <c r="L214" s="3"/>
    </row>
    <row r="215" spans="1:12" ht="15">
      <c r="A215" s="112"/>
      <c r="B215" s="95"/>
      <c r="C215" s="127"/>
      <c r="D215" s="112"/>
      <c r="E215" s="128"/>
      <c r="F215" s="112"/>
      <c r="G215" s="128"/>
      <c r="H215" s="112"/>
      <c r="I215" s="128"/>
      <c r="J215" s="112"/>
      <c r="K215" s="128"/>
      <c r="L215" s="3"/>
    </row>
    <row r="216" spans="1:11" ht="15">
      <c r="A216" s="377"/>
      <c r="C216" s="380"/>
      <c r="D216" s="377"/>
      <c r="E216" s="379"/>
      <c r="F216" s="377"/>
      <c r="G216" s="379"/>
      <c r="H216" s="377"/>
      <c r="I216" s="379"/>
      <c r="J216" s="377"/>
      <c r="K216" s="379"/>
    </row>
    <row r="217" spans="1:11" ht="15">
      <c r="A217" s="377"/>
      <c r="C217" s="380"/>
      <c r="D217" s="377"/>
      <c r="E217" s="379"/>
      <c r="F217" s="377"/>
      <c r="G217" s="379"/>
      <c r="H217" s="377"/>
      <c r="I217" s="379"/>
      <c r="J217" s="377"/>
      <c r="K217" s="379"/>
    </row>
    <row r="218" spans="1:11" ht="15">
      <c r="A218" s="377"/>
      <c r="C218" s="380"/>
      <c r="D218" s="377"/>
      <c r="E218" s="379"/>
      <c r="F218" s="377"/>
      <c r="G218" s="379"/>
      <c r="H218" s="377"/>
      <c r="I218" s="379"/>
      <c r="J218" s="377"/>
      <c r="K218" s="379"/>
    </row>
    <row r="219" spans="1:11" ht="15">
      <c r="A219" s="377"/>
      <c r="C219" s="380"/>
      <c r="D219" s="377"/>
      <c r="E219" s="379"/>
      <c r="F219" s="377"/>
      <c r="G219" s="379"/>
      <c r="H219" s="377"/>
      <c r="I219" s="379"/>
      <c r="J219" s="377"/>
      <c r="K219" s="379"/>
    </row>
    <row r="220" spans="1:11" ht="15">
      <c r="A220" s="377"/>
      <c r="B220" s="378"/>
      <c r="C220" s="380"/>
      <c r="D220" s="377"/>
      <c r="E220" s="379"/>
      <c r="F220" s="377"/>
      <c r="G220" s="379"/>
      <c r="H220" s="377"/>
      <c r="I220" s="379"/>
      <c r="J220" s="377"/>
      <c r="K220" s="379"/>
    </row>
    <row r="221" spans="1:11" ht="15">
      <c r="A221" s="377"/>
      <c r="B221" s="378"/>
      <c r="C221" s="380"/>
      <c r="D221" s="377"/>
      <c r="E221" s="379"/>
      <c r="F221" s="377"/>
      <c r="G221" s="379"/>
      <c r="H221" s="377"/>
      <c r="I221" s="379"/>
      <c r="J221" s="377"/>
      <c r="K221" s="379"/>
    </row>
    <row r="222" spans="1:11" ht="15">
      <c r="A222" s="377"/>
      <c r="B222" s="378"/>
      <c r="C222" s="380"/>
      <c r="D222" s="377"/>
      <c r="E222" s="379"/>
      <c r="F222" s="377"/>
      <c r="G222" s="379"/>
      <c r="H222" s="377"/>
      <c r="I222" s="379"/>
      <c r="J222" s="377"/>
      <c r="K222" s="379"/>
    </row>
    <row r="223" spans="1:11" ht="15">
      <c r="A223" s="377"/>
      <c r="B223" s="378"/>
      <c r="C223" s="380"/>
      <c r="D223" s="377"/>
      <c r="E223" s="379"/>
      <c r="F223" s="377"/>
      <c r="G223" s="379"/>
      <c r="H223" s="377"/>
      <c r="I223" s="379"/>
      <c r="J223" s="377"/>
      <c r="K223" s="379"/>
    </row>
    <row r="224" spans="1:11" ht="15">
      <c r="A224" s="377"/>
      <c r="B224" s="378"/>
      <c r="C224" s="380"/>
      <c r="D224" s="377"/>
      <c r="E224" s="379"/>
      <c r="F224" s="377"/>
      <c r="G224" s="379"/>
      <c r="H224" s="377"/>
      <c r="I224" s="379"/>
      <c r="J224" s="377"/>
      <c r="K224" s="379"/>
    </row>
    <row r="225" spans="1:11" ht="15">
      <c r="A225" s="377"/>
      <c r="B225" s="378"/>
      <c r="C225" s="380"/>
      <c r="D225" s="377"/>
      <c r="E225" s="379"/>
      <c r="F225" s="377"/>
      <c r="G225" s="379"/>
      <c r="H225" s="377"/>
      <c r="I225" s="379"/>
      <c r="J225" s="377"/>
      <c r="K225" s="379"/>
    </row>
    <row r="226" spans="1:11" ht="15">
      <c r="A226" s="377"/>
      <c r="B226" s="378"/>
      <c r="C226" s="380"/>
      <c r="D226" s="377"/>
      <c r="E226" s="379"/>
      <c r="F226" s="377"/>
      <c r="G226" s="379"/>
      <c r="H226" s="377"/>
      <c r="I226" s="379"/>
      <c r="J226" s="377"/>
      <c r="K226" s="379"/>
    </row>
    <row r="227" spans="1:11" ht="15">
      <c r="A227" s="377"/>
      <c r="B227" s="378"/>
      <c r="C227" s="380"/>
      <c r="D227" s="377"/>
      <c r="E227" s="379"/>
      <c r="F227" s="377"/>
      <c r="G227" s="379"/>
      <c r="H227" s="377"/>
      <c r="I227" s="379"/>
      <c r="J227" s="377"/>
      <c r="K227" s="379"/>
    </row>
    <row r="228" spans="1:11" ht="15">
      <c r="A228" s="377"/>
      <c r="B228" s="378"/>
      <c r="C228" s="380"/>
      <c r="D228" s="377"/>
      <c r="E228" s="379"/>
      <c r="F228" s="377"/>
      <c r="G228" s="379"/>
      <c r="H228" s="377"/>
      <c r="I228" s="379"/>
      <c r="J228" s="377"/>
      <c r="K228" s="379"/>
    </row>
    <row r="229" spans="1:11" ht="15">
      <c r="A229" s="377"/>
      <c r="B229" s="378"/>
      <c r="C229" s="380"/>
      <c r="D229" s="377"/>
      <c r="E229" s="379"/>
      <c r="F229" s="377"/>
      <c r="G229" s="379"/>
      <c r="H229" s="377"/>
      <c r="I229" s="379"/>
      <c r="J229" s="377"/>
      <c r="K229" s="379"/>
    </row>
    <row r="230" spans="1:11" ht="15">
      <c r="A230" s="377"/>
      <c r="B230" s="378"/>
      <c r="C230" s="380"/>
      <c r="D230" s="377"/>
      <c r="E230" s="379"/>
      <c r="F230" s="377"/>
      <c r="G230" s="379"/>
      <c r="H230" s="377"/>
      <c r="I230" s="379"/>
      <c r="J230" s="377"/>
      <c r="K230" s="379"/>
    </row>
    <row r="231" spans="1:11" ht="15">
      <c r="A231" s="377"/>
      <c r="B231" s="378"/>
      <c r="C231" s="380"/>
      <c r="D231" s="377"/>
      <c r="E231" s="379"/>
      <c r="F231" s="377"/>
      <c r="G231" s="379"/>
      <c r="H231" s="377"/>
      <c r="I231" s="379"/>
      <c r="J231" s="377"/>
      <c r="K231" s="379"/>
    </row>
    <row r="232" spans="1:11" ht="15">
      <c r="A232" s="377"/>
      <c r="B232" s="378"/>
      <c r="C232" s="380"/>
      <c r="D232" s="377"/>
      <c r="E232" s="379"/>
      <c r="F232" s="377"/>
      <c r="G232" s="379"/>
      <c r="H232" s="377"/>
      <c r="I232" s="379"/>
      <c r="J232" s="377"/>
      <c r="K232" s="379"/>
    </row>
    <row r="233" spans="1:11" ht="15">
      <c r="A233" s="377"/>
      <c r="B233" s="378"/>
      <c r="C233" s="380"/>
      <c r="D233" s="377"/>
      <c r="E233" s="379"/>
      <c r="F233" s="377"/>
      <c r="G233" s="379"/>
      <c r="H233" s="377"/>
      <c r="I233" s="379"/>
      <c r="J233" s="377"/>
      <c r="K233" s="379"/>
    </row>
    <row r="234" spans="1:11" ht="15">
      <c r="A234" s="377"/>
      <c r="B234" s="378"/>
      <c r="C234" s="380"/>
      <c r="D234" s="377"/>
      <c r="E234" s="379"/>
      <c r="F234" s="377"/>
      <c r="G234" s="379"/>
      <c r="H234" s="377"/>
      <c r="I234" s="379"/>
      <c r="J234" s="377"/>
      <c r="K234" s="379"/>
    </row>
    <row r="235" spans="1:11" ht="15">
      <c r="A235" s="377"/>
      <c r="B235" s="378"/>
      <c r="C235" s="380"/>
      <c r="D235" s="377"/>
      <c r="E235" s="379"/>
      <c r="F235" s="377"/>
      <c r="G235" s="379"/>
      <c r="H235" s="377"/>
      <c r="I235" s="379"/>
      <c r="J235" s="377"/>
      <c r="K235" s="379"/>
    </row>
    <row r="236" spans="1:11" ht="15">
      <c r="A236" s="377"/>
      <c r="B236" s="378"/>
      <c r="C236" s="380"/>
      <c r="D236" s="377"/>
      <c r="E236" s="379"/>
      <c r="F236" s="377"/>
      <c r="G236" s="379"/>
      <c r="H236" s="377"/>
      <c r="I236" s="379"/>
      <c r="J236" s="377"/>
      <c r="K236" s="379"/>
    </row>
    <row r="237" spans="1:11" ht="15">
      <c r="A237" s="377"/>
      <c r="B237" s="378"/>
      <c r="C237" s="380"/>
      <c r="D237" s="377"/>
      <c r="E237" s="379"/>
      <c r="F237" s="377"/>
      <c r="G237" s="379"/>
      <c r="H237" s="377"/>
      <c r="I237" s="379"/>
      <c r="J237" s="377"/>
      <c r="K237" s="379"/>
    </row>
    <row r="238" spans="1:11" ht="15">
      <c r="A238" s="377"/>
      <c r="B238" s="378"/>
      <c r="C238" s="380"/>
      <c r="D238" s="377"/>
      <c r="E238" s="379"/>
      <c r="F238" s="377"/>
      <c r="G238" s="379"/>
      <c r="H238" s="377"/>
      <c r="I238" s="379"/>
      <c r="J238" s="377"/>
      <c r="K238" s="379"/>
    </row>
    <row r="239" spans="1:11" ht="15">
      <c r="A239" s="377"/>
      <c r="B239" s="378"/>
      <c r="C239" s="380"/>
      <c r="D239" s="377"/>
      <c r="E239" s="379"/>
      <c r="F239" s="377"/>
      <c r="G239" s="379"/>
      <c r="H239" s="377"/>
      <c r="I239" s="379"/>
      <c r="J239" s="377"/>
      <c r="K239" s="379"/>
    </row>
    <row r="240" spans="1:11" ht="15">
      <c r="A240" s="377"/>
      <c r="B240" s="378"/>
      <c r="C240" s="380"/>
      <c r="D240" s="377"/>
      <c r="E240" s="379"/>
      <c r="F240" s="377"/>
      <c r="G240" s="379"/>
      <c r="H240" s="377"/>
      <c r="I240" s="379"/>
      <c r="J240" s="377"/>
      <c r="K240" s="379"/>
    </row>
    <row r="241" spans="1:11" ht="15">
      <c r="A241" s="377"/>
      <c r="B241" s="378"/>
      <c r="C241" s="380"/>
      <c r="D241" s="377"/>
      <c r="E241" s="379"/>
      <c r="F241" s="377"/>
      <c r="G241" s="379"/>
      <c r="H241" s="377"/>
      <c r="I241" s="379"/>
      <c r="J241" s="377"/>
      <c r="K241" s="379"/>
    </row>
    <row r="242" spans="1:11" ht="15">
      <c r="A242" s="377"/>
      <c r="B242" s="378"/>
      <c r="C242" s="380"/>
      <c r="D242" s="377"/>
      <c r="E242" s="379"/>
      <c r="F242" s="377"/>
      <c r="G242" s="379"/>
      <c r="H242" s="377"/>
      <c r="I242" s="379"/>
      <c r="J242" s="377"/>
      <c r="K242" s="379"/>
    </row>
  </sheetData>
  <sheetProtection/>
  <mergeCells count="10">
    <mergeCell ref="A212:B212"/>
    <mergeCell ref="K212:L212"/>
    <mergeCell ref="K1:L1"/>
    <mergeCell ref="H2:L2"/>
    <mergeCell ref="A5:L5"/>
    <mergeCell ref="A6:L6"/>
    <mergeCell ref="A8:A9"/>
    <mergeCell ref="B8:B9"/>
    <mergeCell ref="C8:C9"/>
    <mergeCell ref="D8:L8"/>
  </mergeCells>
  <printOptions horizontalCentered="1"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88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826"/>
  <sheetViews>
    <sheetView workbookViewId="0" topLeftCell="A1">
      <selection activeCell="B2" sqref="B2"/>
    </sheetView>
  </sheetViews>
  <sheetFormatPr defaultColWidth="9.140625" defaultRowHeight="15"/>
  <cols>
    <col min="1" max="1" width="6.28125" style="381" customWidth="1"/>
    <col min="2" max="2" width="45.00390625" style="381" customWidth="1"/>
    <col min="3" max="3" width="14.140625" style="390" customWidth="1"/>
    <col min="4" max="4" width="14.28125" style="390" customWidth="1"/>
    <col min="5" max="5" width="16.7109375" style="390" customWidth="1"/>
    <col min="6" max="16384" width="9.140625" style="381" customWidth="1"/>
  </cols>
  <sheetData>
    <row r="1" ht="15.75">
      <c r="A1" s="384"/>
    </row>
    <row r="2" spans="3:5" ht="15.75">
      <c r="C2" s="385"/>
      <c r="D2" s="385"/>
      <c r="E2" s="386" t="s">
        <v>806</v>
      </c>
    </row>
    <row r="3" spans="3:5" ht="31.5" customHeight="1">
      <c r="C3" s="440" t="s">
        <v>986</v>
      </c>
      <c r="D3" s="441"/>
      <c r="E3" s="441"/>
    </row>
    <row r="4" spans="3:5" ht="15.75" customHeight="1">
      <c r="C4" s="440" t="s">
        <v>987</v>
      </c>
      <c r="D4" s="441"/>
      <c r="E4" s="441"/>
    </row>
    <row r="6" spans="1:5" ht="56.25" customHeight="1">
      <c r="A6" s="442" t="s">
        <v>966</v>
      </c>
      <c r="B6" s="443"/>
      <c r="C6" s="443"/>
      <c r="D6" s="443"/>
      <c r="E6" s="443"/>
    </row>
    <row r="7" spans="1:5" ht="28.5" customHeight="1">
      <c r="A7" s="444" t="s">
        <v>807</v>
      </c>
      <c r="B7" s="445"/>
      <c r="C7" s="383" t="s">
        <v>964</v>
      </c>
      <c r="D7" s="383" t="s">
        <v>965</v>
      </c>
      <c r="E7" s="383" t="s">
        <v>794</v>
      </c>
    </row>
    <row r="8" spans="1:5" ht="15.75" customHeight="1">
      <c r="A8" s="438" t="s">
        <v>808</v>
      </c>
      <c r="B8" s="439"/>
      <c r="C8" s="439"/>
      <c r="D8" s="439"/>
      <c r="E8" s="439"/>
    </row>
    <row r="9" spans="1:5" ht="14.25">
      <c r="A9" s="395"/>
      <c r="B9" s="396" t="s">
        <v>809</v>
      </c>
      <c r="C9" s="397">
        <v>36167787</v>
      </c>
      <c r="D9" s="397">
        <v>-2442012</v>
      </c>
      <c r="E9" s="397">
        <v>33725775</v>
      </c>
    </row>
    <row r="10" spans="1:5" ht="14.25">
      <c r="A10" s="395"/>
      <c r="B10" s="396" t="s">
        <v>810</v>
      </c>
      <c r="C10" s="397">
        <v>4173717</v>
      </c>
      <c r="D10" s="397">
        <v>1880</v>
      </c>
      <c r="E10" s="397">
        <v>4175597</v>
      </c>
    </row>
    <row r="11" spans="1:5" ht="14.25">
      <c r="A11" s="395"/>
      <c r="B11" s="396" t="s">
        <v>811</v>
      </c>
      <c r="C11" s="397">
        <v>4229152</v>
      </c>
      <c r="D11" s="397">
        <v>29299</v>
      </c>
      <c r="E11" s="397">
        <v>4258451</v>
      </c>
    </row>
    <row r="12" spans="1:5" ht="14.25">
      <c r="A12" s="395"/>
      <c r="B12" s="396" t="s">
        <v>812</v>
      </c>
      <c r="C12" s="397">
        <v>39000</v>
      </c>
      <c r="D12" s="397">
        <v>0</v>
      </c>
      <c r="E12" s="397">
        <v>39000</v>
      </c>
    </row>
    <row r="13" spans="1:5" ht="14.25">
      <c r="A13" s="395"/>
      <c r="B13" s="396" t="s">
        <v>813</v>
      </c>
      <c r="C13" s="397">
        <v>26887506</v>
      </c>
      <c r="D13" s="397">
        <v>-2475191</v>
      </c>
      <c r="E13" s="397">
        <v>24412315</v>
      </c>
    </row>
    <row r="14" spans="1:5" ht="14.25">
      <c r="A14" s="395"/>
      <c r="B14" s="396" t="s">
        <v>814</v>
      </c>
      <c r="C14" s="397">
        <v>72006</v>
      </c>
      <c r="D14" s="397">
        <v>2000</v>
      </c>
      <c r="E14" s="397">
        <v>74006</v>
      </c>
    </row>
    <row r="15" spans="1:5" ht="28.5">
      <c r="A15" s="395"/>
      <c r="B15" s="396" t="s">
        <v>815</v>
      </c>
      <c r="C15" s="397">
        <v>750780</v>
      </c>
      <c r="D15" s="397">
        <v>0</v>
      </c>
      <c r="E15" s="397">
        <v>750780</v>
      </c>
    </row>
    <row r="16" spans="1:5" ht="14.25">
      <c r="A16" s="395"/>
      <c r="B16" s="396" t="s">
        <v>816</v>
      </c>
      <c r="C16" s="397">
        <v>15626</v>
      </c>
      <c r="D16" s="397">
        <v>0</v>
      </c>
      <c r="E16" s="397">
        <v>15626</v>
      </c>
    </row>
    <row r="18" spans="1:5" ht="15.75" customHeight="1">
      <c r="A18" s="435" t="s">
        <v>817</v>
      </c>
      <c r="B18" s="436"/>
      <c r="C18" s="436"/>
      <c r="D18" s="436"/>
      <c r="E18" s="436"/>
    </row>
    <row r="19" spans="2:5" s="394" customFormat="1" ht="14.25">
      <c r="B19" s="389" t="s">
        <v>809</v>
      </c>
      <c r="C19" s="392">
        <v>5959850</v>
      </c>
      <c r="D19" s="392">
        <v>0</v>
      </c>
      <c r="E19" s="392">
        <v>5959850</v>
      </c>
    </row>
    <row r="20" spans="2:5" ht="15">
      <c r="B20" s="382" t="s">
        <v>810</v>
      </c>
      <c r="C20" s="391">
        <v>3801649</v>
      </c>
      <c r="D20" s="391">
        <v>0</v>
      </c>
      <c r="E20" s="391">
        <v>3801649</v>
      </c>
    </row>
    <row r="21" spans="2:5" ht="15">
      <c r="B21" s="382" t="s">
        <v>811</v>
      </c>
      <c r="C21" s="391">
        <v>2110537</v>
      </c>
      <c r="D21" s="391">
        <v>0</v>
      </c>
      <c r="E21" s="391">
        <v>2110537</v>
      </c>
    </row>
    <row r="22" spans="2:5" ht="15">
      <c r="B22" s="382" t="s">
        <v>813</v>
      </c>
      <c r="C22" s="391">
        <v>42573</v>
      </c>
      <c r="D22" s="391">
        <v>0</v>
      </c>
      <c r="E22" s="391">
        <v>42573</v>
      </c>
    </row>
    <row r="23" spans="2:5" ht="15">
      <c r="B23" s="382" t="s">
        <v>814</v>
      </c>
      <c r="C23" s="391">
        <v>5091</v>
      </c>
      <c r="D23" s="391">
        <v>0</v>
      </c>
      <c r="E23" s="391">
        <v>5091</v>
      </c>
    </row>
    <row r="25" spans="1:5" ht="15.75" customHeight="1">
      <c r="A25" s="435" t="s">
        <v>818</v>
      </c>
      <c r="B25" s="436"/>
      <c r="C25" s="436"/>
      <c r="D25" s="436"/>
      <c r="E25" s="436"/>
    </row>
    <row r="26" spans="2:5" s="394" customFormat="1" ht="14.25">
      <c r="B26" s="389" t="s">
        <v>809</v>
      </c>
      <c r="C26" s="392">
        <v>8482</v>
      </c>
      <c r="D26" s="392">
        <v>0</v>
      </c>
      <c r="E26" s="392">
        <v>8482</v>
      </c>
    </row>
    <row r="27" spans="2:5" ht="30">
      <c r="B27" s="382" t="s">
        <v>815</v>
      </c>
      <c r="C27" s="391">
        <v>8482</v>
      </c>
      <c r="D27" s="391">
        <v>0</v>
      </c>
      <c r="E27" s="391">
        <v>8482</v>
      </c>
    </row>
    <row r="29" spans="1:5" ht="15.75" customHeight="1">
      <c r="A29" s="435" t="s">
        <v>819</v>
      </c>
      <c r="B29" s="436"/>
      <c r="C29" s="436"/>
      <c r="D29" s="436"/>
      <c r="E29" s="436"/>
    </row>
    <row r="30" spans="2:5" s="394" customFormat="1" ht="14.25">
      <c r="B30" s="389" t="s">
        <v>809</v>
      </c>
      <c r="C30" s="392">
        <v>1235323</v>
      </c>
      <c r="D30" s="392">
        <v>0</v>
      </c>
      <c r="E30" s="392">
        <v>1235323</v>
      </c>
    </row>
    <row r="31" spans="2:5" ht="15">
      <c r="B31" s="382" t="s">
        <v>811</v>
      </c>
      <c r="C31" s="391">
        <v>0</v>
      </c>
      <c r="D31" s="391">
        <v>22615</v>
      </c>
      <c r="E31" s="391">
        <v>22615</v>
      </c>
    </row>
    <row r="32" spans="2:5" ht="15">
      <c r="B32" s="382" t="s">
        <v>813</v>
      </c>
      <c r="C32" s="391">
        <v>1235323</v>
      </c>
      <c r="D32" s="391">
        <v>-22615</v>
      </c>
      <c r="E32" s="391">
        <v>1212708</v>
      </c>
    </row>
    <row r="34" spans="1:5" ht="15.75" customHeight="1">
      <c r="A34" s="435" t="s">
        <v>820</v>
      </c>
      <c r="B34" s="436"/>
      <c r="C34" s="436"/>
      <c r="D34" s="436"/>
      <c r="E34" s="436"/>
    </row>
    <row r="35" spans="2:5" s="394" customFormat="1" ht="14.25">
      <c r="B35" s="389" t="s">
        <v>809</v>
      </c>
      <c r="C35" s="392">
        <v>91895</v>
      </c>
      <c r="D35" s="392">
        <v>0</v>
      </c>
      <c r="E35" s="392">
        <v>91895</v>
      </c>
    </row>
    <row r="36" spans="2:5" ht="15">
      <c r="B36" s="382" t="s">
        <v>811</v>
      </c>
      <c r="C36" s="391">
        <v>91895</v>
      </c>
      <c r="D36" s="391">
        <v>0</v>
      </c>
      <c r="E36" s="391">
        <v>91895</v>
      </c>
    </row>
    <row r="38" spans="1:5" ht="15.75" customHeight="1">
      <c r="A38" s="435" t="s">
        <v>821</v>
      </c>
      <c r="B38" s="436"/>
      <c r="C38" s="436"/>
      <c r="D38" s="436"/>
      <c r="E38" s="436"/>
    </row>
    <row r="39" spans="2:5" s="394" customFormat="1" ht="14.25">
      <c r="B39" s="389" t="s">
        <v>809</v>
      </c>
      <c r="C39" s="392">
        <v>647725</v>
      </c>
      <c r="D39" s="392">
        <v>0</v>
      </c>
      <c r="E39" s="392">
        <v>647725</v>
      </c>
    </row>
    <row r="40" spans="2:5" ht="15">
      <c r="B40" s="382" t="s">
        <v>811</v>
      </c>
      <c r="C40" s="391">
        <v>462994</v>
      </c>
      <c r="D40" s="391">
        <v>0</v>
      </c>
      <c r="E40" s="391">
        <v>462994</v>
      </c>
    </row>
    <row r="41" spans="2:5" ht="15">
      <c r="B41" s="382" t="s">
        <v>813</v>
      </c>
      <c r="C41" s="391">
        <v>184731</v>
      </c>
      <c r="D41" s="391">
        <v>0</v>
      </c>
      <c r="E41" s="391">
        <v>184731</v>
      </c>
    </row>
    <row r="43" spans="1:5" ht="31.5" customHeight="1">
      <c r="A43" s="435" t="s">
        <v>822</v>
      </c>
      <c r="B43" s="436"/>
      <c r="C43" s="436"/>
      <c r="D43" s="436"/>
      <c r="E43" s="436"/>
    </row>
    <row r="44" spans="2:5" s="394" customFormat="1" ht="14.25">
      <c r="B44" s="389" t="s">
        <v>809</v>
      </c>
      <c r="C44" s="392">
        <v>50472</v>
      </c>
      <c r="D44" s="392">
        <v>0</v>
      </c>
      <c r="E44" s="392">
        <v>50472</v>
      </c>
    </row>
    <row r="45" spans="2:5" ht="15">
      <c r="B45" s="382" t="s">
        <v>811</v>
      </c>
      <c r="C45" s="391">
        <v>9862</v>
      </c>
      <c r="D45" s="391">
        <v>0</v>
      </c>
      <c r="E45" s="391">
        <v>9862</v>
      </c>
    </row>
    <row r="46" spans="2:5" ht="30">
      <c r="B46" s="382" t="s">
        <v>815</v>
      </c>
      <c r="C46" s="391">
        <v>40610</v>
      </c>
      <c r="D46" s="391">
        <v>0</v>
      </c>
      <c r="E46" s="391">
        <v>40610</v>
      </c>
    </row>
    <row r="48" spans="1:5" ht="15.75" customHeight="1">
      <c r="A48" s="435" t="s">
        <v>823</v>
      </c>
      <c r="B48" s="436"/>
      <c r="C48" s="436"/>
      <c r="D48" s="436"/>
      <c r="E48" s="436"/>
    </row>
    <row r="49" spans="2:5" s="394" customFormat="1" ht="14.25">
      <c r="B49" s="389" t="s">
        <v>809</v>
      </c>
      <c r="C49" s="392">
        <v>83759</v>
      </c>
      <c r="D49" s="392">
        <v>0</v>
      </c>
      <c r="E49" s="392">
        <v>83759</v>
      </c>
    </row>
    <row r="50" spans="2:5" ht="15">
      <c r="B50" s="382" t="s">
        <v>810</v>
      </c>
      <c r="C50" s="391">
        <v>78302</v>
      </c>
      <c r="D50" s="391">
        <v>0</v>
      </c>
      <c r="E50" s="391">
        <v>78302</v>
      </c>
    </row>
    <row r="51" spans="2:5" ht="15">
      <c r="B51" s="382" t="s">
        <v>811</v>
      </c>
      <c r="C51" s="391">
        <v>5457</v>
      </c>
      <c r="D51" s="391">
        <v>0</v>
      </c>
      <c r="E51" s="391">
        <v>5457</v>
      </c>
    </row>
    <row r="53" spans="1:5" ht="31.5" customHeight="1">
      <c r="A53" s="435" t="s">
        <v>824</v>
      </c>
      <c r="B53" s="436"/>
      <c r="C53" s="436"/>
      <c r="D53" s="436"/>
      <c r="E53" s="436"/>
    </row>
    <row r="54" spans="2:5" s="394" customFormat="1" ht="14.25">
      <c r="B54" s="389" t="s">
        <v>809</v>
      </c>
      <c r="C54" s="392">
        <v>516517</v>
      </c>
      <c r="D54" s="392">
        <v>0</v>
      </c>
      <c r="E54" s="392">
        <v>516517</v>
      </c>
    </row>
    <row r="55" spans="2:5" ht="15">
      <c r="B55" s="382" t="s">
        <v>811</v>
      </c>
      <c r="C55" s="391">
        <v>340</v>
      </c>
      <c r="D55" s="391">
        <v>0</v>
      </c>
      <c r="E55" s="391">
        <v>340</v>
      </c>
    </row>
    <row r="56" spans="2:5" ht="15">
      <c r="B56" s="382" t="s">
        <v>813</v>
      </c>
      <c r="C56" s="391">
        <v>516177</v>
      </c>
      <c r="D56" s="391">
        <v>0</v>
      </c>
      <c r="E56" s="391">
        <v>516177</v>
      </c>
    </row>
    <row r="58" spans="1:5" ht="31.5" customHeight="1">
      <c r="A58" s="435" t="s">
        <v>825</v>
      </c>
      <c r="B58" s="436"/>
      <c r="C58" s="436"/>
      <c r="D58" s="436"/>
      <c r="E58" s="436"/>
    </row>
    <row r="59" spans="2:5" s="394" customFormat="1" ht="14.25">
      <c r="B59" s="389" t="s">
        <v>809</v>
      </c>
      <c r="C59" s="392">
        <v>15626</v>
      </c>
      <c r="D59" s="392">
        <v>0</v>
      </c>
      <c r="E59" s="392">
        <v>15626</v>
      </c>
    </row>
    <row r="60" spans="2:5" ht="15">
      <c r="B60" s="382" t="s">
        <v>816</v>
      </c>
      <c r="C60" s="391">
        <v>15626</v>
      </c>
      <c r="D60" s="391">
        <v>0</v>
      </c>
      <c r="E60" s="391">
        <v>15626</v>
      </c>
    </row>
    <row r="62" spans="1:5" ht="31.5" customHeight="1">
      <c r="A62" s="435" t="s">
        <v>826</v>
      </c>
      <c r="B62" s="436"/>
      <c r="C62" s="436"/>
      <c r="D62" s="436"/>
      <c r="E62" s="436"/>
    </row>
    <row r="63" spans="2:5" s="394" customFormat="1" ht="14.25">
      <c r="B63" s="389" t="s">
        <v>809</v>
      </c>
      <c r="C63" s="392">
        <v>907538</v>
      </c>
      <c r="D63" s="392">
        <v>0</v>
      </c>
      <c r="E63" s="392">
        <v>907538</v>
      </c>
    </row>
    <row r="64" spans="2:5" ht="15">
      <c r="B64" s="382" t="s">
        <v>810</v>
      </c>
      <c r="C64" s="391">
        <v>715</v>
      </c>
      <c r="D64" s="391">
        <v>980</v>
      </c>
      <c r="E64" s="391">
        <v>1695</v>
      </c>
    </row>
    <row r="65" spans="2:5" ht="15">
      <c r="B65" s="382" t="s">
        <v>811</v>
      </c>
      <c r="C65" s="391">
        <v>21000</v>
      </c>
      <c r="D65" s="391">
        <v>-980</v>
      </c>
      <c r="E65" s="391">
        <v>20020</v>
      </c>
    </row>
    <row r="66" spans="2:5" ht="15">
      <c r="B66" s="382" t="s">
        <v>813</v>
      </c>
      <c r="C66" s="391">
        <v>722342</v>
      </c>
      <c r="D66" s="391">
        <v>0</v>
      </c>
      <c r="E66" s="391">
        <v>722342</v>
      </c>
    </row>
    <row r="67" spans="2:5" ht="30">
      <c r="B67" s="382" t="s">
        <v>815</v>
      </c>
      <c r="C67" s="391">
        <v>163481</v>
      </c>
      <c r="D67" s="391">
        <v>0</v>
      </c>
      <c r="E67" s="391">
        <v>163481</v>
      </c>
    </row>
    <row r="69" spans="1:5" ht="31.5" customHeight="1">
      <c r="A69" s="435" t="s">
        <v>827</v>
      </c>
      <c r="B69" s="436"/>
      <c r="C69" s="436"/>
      <c r="D69" s="436"/>
      <c r="E69" s="436"/>
    </row>
    <row r="70" spans="2:5" s="394" customFormat="1" ht="14.25">
      <c r="B70" s="389" t="s">
        <v>809</v>
      </c>
      <c r="C70" s="392">
        <v>707161</v>
      </c>
      <c r="D70" s="392">
        <v>-44478</v>
      </c>
      <c r="E70" s="392">
        <v>662683</v>
      </c>
    </row>
    <row r="71" spans="2:5" ht="15">
      <c r="B71" s="382" t="s">
        <v>810</v>
      </c>
      <c r="C71" s="391">
        <v>0</v>
      </c>
      <c r="D71" s="391">
        <v>900</v>
      </c>
      <c r="E71" s="391">
        <v>900</v>
      </c>
    </row>
    <row r="72" spans="2:5" ht="15">
      <c r="B72" s="382" t="s">
        <v>811</v>
      </c>
      <c r="C72" s="391">
        <v>66181</v>
      </c>
      <c r="D72" s="391">
        <v>-900</v>
      </c>
      <c r="E72" s="391">
        <v>65281</v>
      </c>
    </row>
    <row r="73" spans="2:5" ht="15">
      <c r="B73" s="382" t="s">
        <v>813</v>
      </c>
      <c r="C73" s="391">
        <v>229256</v>
      </c>
      <c r="D73" s="391">
        <v>-44478</v>
      </c>
      <c r="E73" s="391">
        <v>184778</v>
      </c>
    </row>
    <row r="74" spans="2:5" ht="30">
      <c r="B74" s="382" t="s">
        <v>815</v>
      </c>
      <c r="C74" s="391">
        <v>411724</v>
      </c>
      <c r="D74" s="391">
        <v>0</v>
      </c>
      <c r="E74" s="391">
        <v>411724</v>
      </c>
    </row>
    <row r="76" spans="1:5" ht="15.75" customHeight="1">
      <c r="A76" s="435" t="s">
        <v>828</v>
      </c>
      <c r="B76" s="436"/>
      <c r="C76" s="436"/>
      <c r="D76" s="436"/>
      <c r="E76" s="436"/>
    </row>
    <row r="77" spans="2:5" s="394" customFormat="1" ht="14.25">
      <c r="B77" s="389" t="s">
        <v>809</v>
      </c>
      <c r="C77" s="392">
        <v>1577298</v>
      </c>
      <c r="D77" s="392">
        <v>0</v>
      </c>
      <c r="E77" s="392">
        <v>1577298</v>
      </c>
    </row>
    <row r="78" spans="2:5" ht="15">
      <c r="B78" s="382" t="s">
        <v>811</v>
      </c>
      <c r="C78" s="391">
        <v>45498</v>
      </c>
      <c r="D78" s="391">
        <v>0</v>
      </c>
      <c r="E78" s="391">
        <v>45498</v>
      </c>
    </row>
    <row r="79" spans="2:5" ht="15">
      <c r="B79" s="382" t="s">
        <v>813</v>
      </c>
      <c r="C79" s="391">
        <v>1531800</v>
      </c>
      <c r="D79" s="391">
        <v>0</v>
      </c>
      <c r="E79" s="391">
        <v>1531800</v>
      </c>
    </row>
    <row r="81" spans="1:5" ht="31.5" customHeight="1">
      <c r="A81" s="435" t="s">
        <v>829</v>
      </c>
      <c r="B81" s="436"/>
      <c r="C81" s="436"/>
      <c r="D81" s="436"/>
      <c r="E81" s="436"/>
    </row>
    <row r="82" spans="2:5" s="394" customFormat="1" ht="14.25">
      <c r="B82" s="389" t="s">
        <v>809</v>
      </c>
      <c r="C82" s="392">
        <v>11731</v>
      </c>
      <c r="D82" s="392">
        <v>0</v>
      </c>
      <c r="E82" s="392">
        <v>11731</v>
      </c>
    </row>
    <row r="83" spans="2:5" ht="15">
      <c r="B83" s="382" t="s">
        <v>810</v>
      </c>
      <c r="C83" s="391">
        <v>11731</v>
      </c>
      <c r="D83" s="391">
        <v>0</v>
      </c>
      <c r="E83" s="391">
        <v>11731</v>
      </c>
    </row>
    <row r="85" spans="1:5" ht="15.75" customHeight="1">
      <c r="A85" s="435" t="s">
        <v>830</v>
      </c>
      <c r="B85" s="436"/>
      <c r="C85" s="436"/>
      <c r="D85" s="436"/>
      <c r="E85" s="436"/>
    </row>
    <row r="86" spans="2:5" s="394" customFormat="1" ht="14.25">
      <c r="B86" s="389" t="s">
        <v>809</v>
      </c>
      <c r="C86" s="392">
        <v>3195000</v>
      </c>
      <c r="D86" s="392">
        <v>0</v>
      </c>
      <c r="E86" s="392">
        <v>3195000</v>
      </c>
    </row>
    <row r="87" spans="2:5" ht="15">
      <c r="B87" s="382" t="s">
        <v>813</v>
      </c>
      <c r="C87" s="391">
        <v>3195000</v>
      </c>
      <c r="D87" s="391">
        <v>0</v>
      </c>
      <c r="E87" s="391">
        <v>3195000</v>
      </c>
    </row>
    <row r="89" spans="1:5" ht="15.75" customHeight="1">
      <c r="A89" s="435" t="s">
        <v>831</v>
      </c>
      <c r="B89" s="436"/>
      <c r="C89" s="436"/>
      <c r="D89" s="436"/>
      <c r="E89" s="436"/>
    </row>
    <row r="90" spans="2:5" s="394" customFormat="1" ht="14.25">
      <c r="B90" s="389" t="s">
        <v>809</v>
      </c>
      <c r="C90" s="392">
        <v>42300</v>
      </c>
      <c r="D90" s="392">
        <v>0</v>
      </c>
      <c r="E90" s="392">
        <v>42300</v>
      </c>
    </row>
    <row r="91" spans="2:5" ht="15">
      <c r="B91" s="382" t="s">
        <v>811</v>
      </c>
      <c r="C91" s="391">
        <v>42062</v>
      </c>
      <c r="D91" s="391">
        <v>0</v>
      </c>
      <c r="E91" s="391">
        <v>42062</v>
      </c>
    </row>
    <row r="92" spans="2:5" ht="15">
      <c r="B92" s="382" t="s">
        <v>813</v>
      </c>
      <c r="C92" s="391">
        <v>238</v>
      </c>
      <c r="D92" s="391">
        <v>0</v>
      </c>
      <c r="E92" s="391">
        <v>238</v>
      </c>
    </row>
    <row r="94" spans="1:5" ht="18.75" customHeight="1">
      <c r="A94" s="435" t="s">
        <v>832</v>
      </c>
      <c r="B94" s="436"/>
      <c r="C94" s="436"/>
      <c r="D94" s="436"/>
      <c r="E94" s="436"/>
    </row>
    <row r="95" spans="2:5" s="394" customFormat="1" ht="14.25">
      <c r="B95" s="389" t="s">
        <v>809</v>
      </c>
      <c r="C95" s="392">
        <v>499711</v>
      </c>
      <c r="D95" s="392">
        <v>-5540</v>
      </c>
      <c r="E95" s="392">
        <v>494171</v>
      </c>
    </row>
    <row r="96" spans="2:5" ht="15">
      <c r="B96" s="382" t="s">
        <v>810</v>
      </c>
      <c r="C96" s="391">
        <v>8747</v>
      </c>
      <c r="D96" s="391">
        <v>0</v>
      </c>
      <c r="E96" s="391">
        <v>8747</v>
      </c>
    </row>
    <row r="97" spans="2:5" ht="15">
      <c r="B97" s="382" t="s">
        <v>811</v>
      </c>
      <c r="C97" s="391">
        <v>18015</v>
      </c>
      <c r="D97" s="391">
        <v>0</v>
      </c>
      <c r="E97" s="391">
        <v>18015</v>
      </c>
    </row>
    <row r="98" spans="2:5" ht="15">
      <c r="B98" s="382" t="s">
        <v>813</v>
      </c>
      <c r="C98" s="391">
        <v>472949</v>
      </c>
      <c r="D98" s="391">
        <v>-5540</v>
      </c>
      <c r="E98" s="391">
        <v>467409</v>
      </c>
    </row>
    <row r="100" spans="1:5" ht="15.75" customHeight="1">
      <c r="A100" s="435" t="s">
        <v>833</v>
      </c>
      <c r="B100" s="436"/>
      <c r="C100" s="436"/>
      <c r="D100" s="436"/>
      <c r="E100" s="436"/>
    </row>
    <row r="101" spans="2:5" s="394" customFormat="1" ht="14.25">
      <c r="B101" s="389" t="s">
        <v>809</v>
      </c>
      <c r="C101" s="392">
        <v>316607</v>
      </c>
      <c r="D101" s="392">
        <v>10600</v>
      </c>
      <c r="E101" s="392">
        <v>327207</v>
      </c>
    </row>
    <row r="102" spans="2:5" ht="29.25" customHeight="1">
      <c r="B102" s="382" t="s">
        <v>811</v>
      </c>
      <c r="C102" s="391">
        <v>164692</v>
      </c>
      <c r="D102" s="391">
        <v>8564</v>
      </c>
      <c r="E102" s="391">
        <v>173256</v>
      </c>
    </row>
    <row r="103" spans="2:5" ht="15">
      <c r="B103" s="382" t="s">
        <v>812</v>
      </c>
      <c r="C103" s="391">
        <v>25000</v>
      </c>
      <c r="D103" s="391">
        <v>0</v>
      </c>
      <c r="E103" s="391">
        <v>25000</v>
      </c>
    </row>
    <row r="104" spans="2:5" ht="15">
      <c r="B104" s="382" t="s">
        <v>813</v>
      </c>
      <c r="C104" s="391">
        <v>70000</v>
      </c>
      <c r="D104" s="391">
        <v>36</v>
      </c>
      <c r="E104" s="391">
        <v>70036</v>
      </c>
    </row>
    <row r="105" spans="2:5" ht="15">
      <c r="B105" s="382" t="s">
        <v>814</v>
      </c>
      <c r="C105" s="391">
        <v>56915</v>
      </c>
      <c r="D105" s="391">
        <v>2000</v>
      </c>
      <c r="E105" s="391">
        <v>58915</v>
      </c>
    </row>
    <row r="107" spans="1:5" ht="15.75" customHeight="1">
      <c r="A107" s="435" t="s">
        <v>834</v>
      </c>
      <c r="B107" s="436"/>
      <c r="C107" s="436"/>
      <c r="D107" s="436"/>
      <c r="E107" s="436"/>
    </row>
    <row r="108" spans="2:5" s="394" customFormat="1" ht="14.25">
      <c r="B108" s="389" t="s">
        <v>809</v>
      </c>
      <c r="C108" s="392">
        <v>10800</v>
      </c>
      <c r="D108" s="392">
        <v>0</v>
      </c>
      <c r="E108" s="392">
        <v>10800</v>
      </c>
    </row>
    <row r="109" spans="2:5" ht="15">
      <c r="B109" s="382" t="s">
        <v>810</v>
      </c>
      <c r="C109" s="391">
        <v>3500</v>
      </c>
      <c r="D109" s="391">
        <v>0</v>
      </c>
      <c r="E109" s="391">
        <v>3500</v>
      </c>
    </row>
    <row r="110" spans="2:5" ht="15">
      <c r="B110" s="382" t="s">
        <v>811</v>
      </c>
      <c r="C110" s="391">
        <v>3500</v>
      </c>
      <c r="D110" s="391">
        <v>0</v>
      </c>
      <c r="E110" s="391">
        <v>3500</v>
      </c>
    </row>
    <row r="111" spans="2:5" ht="15">
      <c r="B111" s="382" t="s">
        <v>813</v>
      </c>
      <c r="C111" s="391">
        <v>3800</v>
      </c>
      <c r="D111" s="391">
        <v>0</v>
      </c>
      <c r="E111" s="391">
        <v>3800</v>
      </c>
    </row>
    <row r="113" spans="1:5" ht="31.5" customHeight="1">
      <c r="A113" s="435" t="s">
        <v>835</v>
      </c>
      <c r="B113" s="436"/>
      <c r="C113" s="436"/>
      <c r="D113" s="436"/>
      <c r="E113" s="436"/>
    </row>
    <row r="114" spans="2:5" s="394" customFormat="1" ht="14.25">
      <c r="B114" s="389" t="s">
        <v>809</v>
      </c>
      <c r="C114" s="392">
        <v>14000</v>
      </c>
      <c r="D114" s="392">
        <v>0</v>
      </c>
      <c r="E114" s="392">
        <v>14000</v>
      </c>
    </row>
    <row r="115" spans="2:5" ht="15">
      <c r="B115" s="382" t="s">
        <v>812</v>
      </c>
      <c r="C115" s="391">
        <v>14000</v>
      </c>
      <c r="D115" s="391">
        <v>0</v>
      </c>
      <c r="E115" s="391">
        <v>14000</v>
      </c>
    </row>
    <row r="116" ht="10.5" customHeight="1"/>
    <row r="117" spans="1:5" ht="15.75" customHeight="1">
      <c r="A117" s="435" t="s">
        <v>836</v>
      </c>
      <c r="B117" s="436"/>
      <c r="C117" s="436"/>
      <c r="D117" s="436"/>
      <c r="E117" s="436"/>
    </row>
    <row r="118" spans="2:5" s="394" customFormat="1" ht="14.25">
      <c r="B118" s="389" t="s">
        <v>809</v>
      </c>
      <c r="C118" s="392">
        <v>215788</v>
      </c>
      <c r="D118" s="392">
        <v>0</v>
      </c>
      <c r="E118" s="392">
        <v>215788</v>
      </c>
    </row>
    <row r="119" spans="2:5" ht="15">
      <c r="B119" s="382" t="s">
        <v>810</v>
      </c>
      <c r="C119" s="391">
        <v>13461</v>
      </c>
      <c r="D119" s="391">
        <v>0</v>
      </c>
      <c r="E119" s="391">
        <v>13461</v>
      </c>
    </row>
    <row r="120" spans="2:5" ht="15">
      <c r="B120" s="382" t="s">
        <v>811</v>
      </c>
      <c r="C120" s="391">
        <v>202327</v>
      </c>
      <c r="D120" s="391">
        <v>0</v>
      </c>
      <c r="E120" s="391">
        <v>202327</v>
      </c>
    </row>
    <row r="122" spans="1:5" ht="15.75" customHeight="1">
      <c r="A122" s="435" t="s">
        <v>837</v>
      </c>
      <c r="B122" s="436"/>
      <c r="C122" s="436"/>
      <c r="D122" s="436"/>
      <c r="E122" s="436"/>
    </row>
    <row r="123" spans="2:5" s="394" customFormat="1" ht="14.25">
      <c r="B123" s="389" t="s">
        <v>809</v>
      </c>
      <c r="C123" s="392">
        <v>461544</v>
      </c>
      <c r="D123" s="392">
        <v>0</v>
      </c>
      <c r="E123" s="392">
        <v>461544</v>
      </c>
    </row>
    <row r="124" spans="2:5" ht="15">
      <c r="B124" s="382" t="s">
        <v>810</v>
      </c>
      <c r="C124" s="391">
        <v>31109</v>
      </c>
      <c r="D124" s="391">
        <v>0</v>
      </c>
      <c r="E124" s="391">
        <v>31109</v>
      </c>
    </row>
    <row r="125" spans="2:5" ht="15">
      <c r="B125" s="382" t="s">
        <v>811</v>
      </c>
      <c r="C125" s="391">
        <v>374435</v>
      </c>
      <c r="D125" s="391">
        <v>0</v>
      </c>
      <c r="E125" s="391">
        <v>374435</v>
      </c>
    </row>
    <row r="126" spans="2:5" ht="15">
      <c r="B126" s="382" t="s">
        <v>813</v>
      </c>
      <c r="C126" s="391">
        <v>46000</v>
      </c>
      <c r="D126" s="391">
        <v>0</v>
      </c>
      <c r="E126" s="391">
        <v>46000</v>
      </c>
    </row>
    <row r="127" spans="2:5" ht="15">
      <c r="B127" s="382" t="s">
        <v>814</v>
      </c>
      <c r="C127" s="391">
        <v>10000</v>
      </c>
      <c r="D127" s="391">
        <v>0</v>
      </c>
      <c r="E127" s="391">
        <v>10000</v>
      </c>
    </row>
    <row r="128" ht="9.75" customHeight="1"/>
    <row r="129" spans="1:5" ht="15.75" customHeight="1">
      <c r="A129" s="435" t="s">
        <v>838</v>
      </c>
      <c r="B129" s="436"/>
      <c r="C129" s="436"/>
      <c r="D129" s="436"/>
      <c r="E129" s="436"/>
    </row>
    <row r="130" spans="2:5" s="394" customFormat="1" ht="14.25">
      <c r="B130" s="389" t="s">
        <v>809</v>
      </c>
      <c r="C130" s="392">
        <v>1580173</v>
      </c>
      <c r="D130" s="392">
        <v>0</v>
      </c>
      <c r="E130" s="392">
        <v>1580173</v>
      </c>
    </row>
    <row r="131" spans="2:5" ht="15">
      <c r="B131" s="382" t="s">
        <v>813</v>
      </c>
      <c r="C131" s="391">
        <v>1580173</v>
      </c>
      <c r="D131" s="391">
        <v>0</v>
      </c>
      <c r="E131" s="391">
        <v>1580173</v>
      </c>
    </row>
    <row r="133" spans="1:5" ht="31.5" customHeight="1">
      <c r="A133" s="435" t="s">
        <v>839</v>
      </c>
      <c r="B133" s="436"/>
      <c r="C133" s="436"/>
      <c r="D133" s="436"/>
      <c r="E133" s="436"/>
    </row>
    <row r="134" spans="2:5" s="394" customFormat="1" ht="14.25">
      <c r="B134" s="389" t="s">
        <v>809</v>
      </c>
      <c r="C134" s="392">
        <v>6550913</v>
      </c>
      <c r="D134" s="392">
        <v>-1348718</v>
      </c>
      <c r="E134" s="392">
        <v>5202195</v>
      </c>
    </row>
    <row r="135" spans="2:5" ht="15">
      <c r="B135" s="382" t="s">
        <v>813</v>
      </c>
      <c r="C135" s="391">
        <v>6550913</v>
      </c>
      <c r="D135" s="391">
        <v>-1348718</v>
      </c>
      <c r="E135" s="391">
        <v>5202195</v>
      </c>
    </row>
    <row r="137" spans="1:5" ht="31.5" customHeight="1">
      <c r="A137" s="435" t="s">
        <v>840</v>
      </c>
      <c r="B137" s="436"/>
      <c r="C137" s="436"/>
      <c r="D137" s="436"/>
      <c r="E137" s="436"/>
    </row>
    <row r="138" spans="2:5" s="394" customFormat="1" ht="14.25">
      <c r="B138" s="389" t="s">
        <v>809</v>
      </c>
      <c r="C138" s="392">
        <v>126483</v>
      </c>
      <c r="D138" s="392">
        <v>0</v>
      </c>
      <c r="E138" s="392">
        <v>126483</v>
      </c>
    </row>
    <row r="139" spans="2:5" ht="30">
      <c r="B139" s="382" t="s">
        <v>815</v>
      </c>
      <c r="C139" s="391">
        <v>126483</v>
      </c>
      <c r="D139" s="391">
        <v>0</v>
      </c>
      <c r="E139" s="391">
        <v>126483</v>
      </c>
    </row>
    <row r="141" spans="1:5" ht="31.5" customHeight="1">
      <c r="A141" s="435" t="s">
        <v>841</v>
      </c>
      <c r="B141" s="436"/>
      <c r="C141" s="436"/>
      <c r="D141" s="436"/>
      <c r="E141" s="436"/>
    </row>
    <row r="142" spans="2:5" s="394" customFormat="1" ht="14.25">
      <c r="B142" s="389" t="s">
        <v>809</v>
      </c>
      <c r="C142" s="392">
        <v>3873432</v>
      </c>
      <c r="D142" s="392">
        <v>-4192</v>
      </c>
      <c r="E142" s="392">
        <v>3869240</v>
      </c>
    </row>
    <row r="143" spans="2:5" ht="15">
      <c r="B143" s="382" t="s">
        <v>813</v>
      </c>
      <c r="C143" s="391">
        <v>3873432</v>
      </c>
      <c r="D143" s="391">
        <v>-4192</v>
      </c>
      <c r="E143" s="391">
        <v>3869240</v>
      </c>
    </row>
    <row r="145" spans="1:5" ht="31.5" customHeight="1">
      <c r="A145" s="435" t="s">
        <v>842</v>
      </c>
      <c r="B145" s="436"/>
      <c r="C145" s="436"/>
      <c r="D145" s="436"/>
      <c r="E145" s="436"/>
    </row>
    <row r="146" spans="2:5" s="394" customFormat="1" ht="14.25">
      <c r="B146" s="389" t="s">
        <v>809</v>
      </c>
      <c r="C146" s="392">
        <v>372540</v>
      </c>
      <c r="D146" s="392">
        <v>0</v>
      </c>
      <c r="E146" s="392">
        <v>372540</v>
      </c>
    </row>
    <row r="147" spans="2:5" ht="15">
      <c r="B147" s="382" t="s">
        <v>813</v>
      </c>
      <c r="C147" s="391">
        <v>372540</v>
      </c>
      <c r="D147" s="391">
        <v>0</v>
      </c>
      <c r="E147" s="391">
        <v>372540</v>
      </c>
    </row>
    <row r="149" spans="1:5" ht="31.5" customHeight="1">
      <c r="A149" s="435" t="s">
        <v>843</v>
      </c>
      <c r="B149" s="436"/>
      <c r="C149" s="436"/>
      <c r="D149" s="436"/>
      <c r="E149" s="436"/>
    </row>
    <row r="150" spans="2:5" s="394" customFormat="1" ht="14.25">
      <c r="B150" s="389" t="s">
        <v>809</v>
      </c>
      <c r="C150" s="392">
        <v>621050</v>
      </c>
      <c r="D150" s="392">
        <v>0</v>
      </c>
      <c r="E150" s="392">
        <v>621050</v>
      </c>
    </row>
    <row r="151" spans="2:5" ht="15">
      <c r="B151" s="382" t="s">
        <v>811</v>
      </c>
      <c r="C151" s="391">
        <v>100000</v>
      </c>
      <c r="D151" s="391">
        <v>0</v>
      </c>
      <c r="E151" s="391">
        <v>100000</v>
      </c>
    </row>
    <row r="152" spans="2:5" ht="15">
      <c r="B152" s="382" t="s">
        <v>813</v>
      </c>
      <c r="C152" s="391">
        <v>521050</v>
      </c>
      <c r="D152" s="391">
        <v>0</v>
      </c>
      <c r="E152" s="391">
        <v>521050</v>
      </c>
    </row>
    <row r="154" spans="1:5" ht="31.5" customHeight="1">
      <c r="A154" s="435" t="s">
        <v>844</v>
      </c>
      <c r="B154" s="436"/>
      <c r="C154" s="436"/>
      <c r="D154" s="436"/>
      <c r="E154" s="436"/>
    </row>
    <row r="155" spans="2:5" s="394" customFormat="1" ht="14.25">
      <c r="B155" s="389" t="s">
        <v>809</v>
      </c>
      <c r="C155" s="392">
        <v>1529413</v>
      </c>
      <c r="D155" s="392">
        <v>0</v>
      </c>
      <c r="E155" s="392">
        <v>1529413</v>
      </c>
    </row>
    <row r="156" spans="2:5" ht="15">
      <c r="B156" s="382" t="s">
        <v>813</v>
      </c>
      <c r="C156" s="391">
        <v>1529413</v>
      </c>
      <c r="D156" s="391">
        <v>0</v>
      </c>
      <c r="E156" s="391">
        <v>1529413</v>
      </c>
    </row>
    <row r="158" spans="1:5" ht="15.75" customHeight="1">
      <c r="A158" s="435" t="s">
        <v>845</v>
      </c>
      <c r="B158" s="436"/>
      <c r="C158" s="436"/>
      <c r="D158" s="436"/>
      <c r="E158" s="436"/>
    </row>
    <row r="159" spans="2:5" s="394" customFormat="1" ht="14.25">
      <c r="B159" s="389" t="s">
        <v>809</v>
      </c>
      <c r="C159" s="392">
        <v>122861</v>
      </c>
      <c r="D159" s="392">
        <v>0</v>
      </c>
      <c r="E159" s="392">
        <v>122861</v>
      </c>
    </row>
    <row r="160" spans="2:5" ht="15">
      <c r="B160" s="382" t="s">
        <v>810</v>
      </c>
      <c r="C160" s="391">
        <v>42510</v>
      </c>
      <c r="D160" s="391">
        <v>0</v>
      </c>
      <c r="E160" s="391">
        <v>42510</v>
      </c>
    </row>
    <row r="161" spans="2:5" ht="15">
      <c r="B161" s="382" t="s">
        <v>811</v>
      </c>
      <c r="C161" s="391">
        <v>80351</v>
      </c>
      <c r="D161" s="391">
        <v>0</v>
      </c>
      <c r="E161" s="391">
        <v>80351</v>
      </c>
    </row>
    <row r="163" spans="1:5" ht="15.75" customHeight="1">
      <c r="A163" s="435" t="s">
        <v>846</v>
      </c>
      <c r="B163" s="436"/>
      <c r="C163" s="436"/>
      <c r="D163" s="436"/>
      <c r="E163" s="436"/>
    </row>
    <row r="164" spans="2:5" s="394" customFormat="1" ht="14.25">
      <c r="B164" s="389" t="s">
        <v>809</v>
      </c>
      <c r="C164" s="392">
        <v>500</v>
      </c>
      <c r="D164" s="392">
        <v>0</v>
      </c>
      <c r="E164" s="392">
        <v>500</v>
      </c>
    </row>
    <row r="165" spans="2:5" ht="15">
      <c r="B165" s="382" t="s">
        <v>810</v>
      </c>
      <c r="C165" s="391">
        <v>500</v>
      </c>
      <c r="D165" s="391">
        <v>0</v>
      </c>
      <c r="E165" s="391">
        <v>500</v>
      </c>
    </row>
    <row r="167" spans="1:5" ht="15.75" customHeight="1">
      <c r="A167" s="435" t="s">
        <v>847</v>
      </c>
      <c r="B167" s="436"/>
      <c r="C167" s="436"/>
      <c r="D167" s="436"/>
      <c r="E167" s="436"/>
    </row>
    <row r="168" spans="2:5" s="394" customFormat="1" ht="14.25">
      <c r="B168" s="389" t="s">
        <v>809</v>
      </c>
      <c r="C168" s="392">
        <v>167575</v>
      </c>
      <c r="D168" s="392">
        <v>0</v>
      </c>
      <c r="E168" s="392">
        <v>167575</v>
      </c>
    </row>
    <row r="169" spans="2:5" ht="15">
      <c r="B169" s="382" t="s">
        <v>813</v>
      </c>
      <c r="C169" s="391">
        <v>167575</v>
      </c>
      <c r="D169" s="391">
        <v>0</v>
      </c>
      <c r="E169" s="391">
        <v>167575</v>
      </c>
    </row>
    <row r="171" spans="1:5" ht="15.75" customHeight="1">
      <c r="A171" s="435" t="s">
        <v>848</v>
      </c>
      <c r="B171" s="436"/>
      <c r="C171" s="436"/>
      <c r="D171" s="436"/>
      <c r="E171" s="436"/>
    </row>
    <row r="172" spans="2:5" s="394" customFormat="1" ht="14.25">
      <c r="B172" s="389" t="s">
        <v>809</v>
      </c>
      <c r="C172" s="392">
        <v>90000</v>
      </c>
      <c r="D172" s="392">
        <v>0</v>
      </c>
      <c r="E172" s="392">
        <v>90000</v>
      </c>
    </row>
    <row r="173" spans="2:5" ht="15">
      <c r="B173" s="382" t="s">
        <v>811</v>
      </c>
      <c r="C173" s="391">
        <v>0</v>
      </c>
      <c r="D173" s="391">
        <v>0</v>
      </c>
      <c r="E173" s="391">
        <v>0</v>
      </c>
    </row>
    <row r="174" spans="2:5" ht="15">
      <c r="B174" s="382" t="s">
        <v>813</v>
      </c>
      <c r="C174" s="391">
        <v>90000</v>
      </c>
      <c r="D174" s="391">
        <v>0</v>
      </c>
      <c r="E174" s="391">
        <v>90000</v>
      </c>
    </row>
    <row r="176" spans="1:5" ht="15.75" customHeight="1">
      <c r="A176" s="435" t="s">
        <v>849</v>
      </c>
      <c r="B176" s="436"/>
      <c r="C176" s="436"/>
      <c r="D176" s="436"/>
      <c r="E176" s="436"/>
    </row>
    <row r="177" spans="2:5" s="394" customFormat="1" ht="14.25">
      <c r="B177" s="389" t="s">
        <v>809</v>
      </c>
      <c r="C177" s="392">
        <v>4000</v>
      </c>
      <c r="D177" s="392">
        <v>0</v>
      </c>
      <c r="E177" s="392">
        <v>4000</v>
      </c>
    </row>
    <row r="178" spans="2:5" ht="15">
      <c r="B178" s="382" t="s">
        <v>810</v>
      </c>
      <c r="C178" s="391">
        <v>1493</v>
      </c>
      <c r="D178" s="391">
        <v>0</v>
      </c>
      <c r="E178" s="391">
        <v>1493</v>
      </c>
    </row>
    <row r="179" spans="2:5" ht="15">
      <c r="B179" s="382" t="s">
        <v>811</v>
      </c>
      <c r="C179" s="391">
        <v>2507</v>
      </c>
      <c r="D179" s="391">
        <v>0</v>
      </c>
      <c r="E179" s="391">
        <v>2507</v>
      </c>
    </row>
    <row r="181" spans="1:5" ht="15.75" customHeight="1">
      <c r="A181" s="435" t="s">
        <v>850</v>
      </c>
      <c r="B181" s="436"/>
      <c r="C181" s="436"/>
      <c r="D181" s="436"/>
      <c r="E181" s="436"/>
    </row>
    <row r="182" spans="2:5" s="394" customFormat="1" ht="14.25">
      <c r="B182" s="389" t="s">
        <v>809</v>
      </c>
      <c r="C182" s="392">
        <v>516902</v>
      </c>
      <c r="D182" s="392">
        <v>0</v>
      </c>
      <c r="E182" s="392">
        <v>516902</v>
      </c>
    </row>
    <row r="183" spans="2:5" ht="15">
      <c r="B183" s="382" t="s">
        <v>810</v>
      </c>
      <c r="C183" s="391">
        <v>180000</v>
      </c>
      <c r="D183" s="391">
        <v>0</v>
      </c>
      <c r="E183" s="391">
        <v>180000</v>
      </c>
    </row>
    <row r="184" spans="2:5" ht="15">
      <c r="B184" s="382" t="s">
        <v>811</v>
      </c>
      <c r="C184" s="391">
        <v>336902</v>
      </c>
      <c r="D184" s="391">
        <v>0</v>
      </c>
      <c r="E184" s="391">
        <v>336902</v>
      </c>
    </row>
    <row r="185" spans="2:5" ht="30">
      <c r="B185" s="382" t="s">
        <v>815</v>
      </c>
      <c r="C185" s="391">
        <v>0</v>
      </c>
      <c r="D185" s="391">
        <v>0</v>
      </c>
      <c r="E185" s="391">
        <v>0</v>
      </c>
    </row>
    <row r="187" spans="1:5" ht="15.75" customHeight="1">
      <c r="A187" s="435" t="s">
        <v>851</v>
      </c>
      <c r="B187" s="436"/>
      <c r="C187" s="436"/>
      <c r="D187" s="436"/>
      <c r="E187" s="436"/>
    </row>
    <row r="188" spans="2:5" s="394" customFormat="1" ht="14.25">
      <c r="B188" s="389" t="s">
        <v>809</v>
      </c>
      <c r="C188" s="392">
        <v>3219347</v>
      </c>
      <c r="D188" s="392">
        <v>-1000908</v>
      </c>
      <c r="E188" s="392">
        <v>2218439</v>
      </c>
    </row>
    <row r="189" spans="2:5" ht="15">
      <c r="B189" s="382" t="s">
        <v>811</v>
      </c>
      <c r="C189" s="391">
        <v>90597</v>
      </c>
      <c r="D189" s="391">
        <v>0</v>
      </c>
      <c r="E189" s="391">
        <v>90597</v>
      </c>
    </row>
    <row r="190" spans="2:5" ht="15">
      <c r="B190" s="382" t="s">
        <v>813</v>
      </c>
      <c r="C190" s="391">
        <v>3128750</v>
      </c>
      <c r="D190" s="391">
        <v>-1000908</v>
      </c>
      <c r="E190" s="391">
        <v>2127842</v>
      </c>
    </row>
    <row r="192" spans="1:5" ht="31.5" customHeight="1">
      <c r="A192" s="435" t="s">
        <v>852</v>
      </c>
      <c r="B192" s="436"/>
      <c r="C192" s="436"/>
      <c r="D192" s="436"/>
      <c r="E192" s="436"/>
    </row>
    <row r="193" spans="2:5" s="394" customFormat="1" ht="14.25">
      <c r="B193" s="389" t="s">
        <v>809</v>
      </c>
      <c r="C193" s="392">
        <v>823471</v>
      </c>
      <c r="D193" s="392">
        <v>-48776</v>
      </c>
      <c r="E193" s="392">
        <v>774695</v>
      </c>
    </row>
    <row r="194" spans="2:5" ht="15">
      <c r="B194" s="382" t="s">
        <v>813</v>
      </c>
      <c r="C194" s="391">
        <v>823471</v>
      </c>
      <c r="D194" s="391">
        <v>-48776</v>
      </c>
      <c r="E194" s="391">
        <v>774695</v>
      </c>
    </row>
    <row r="196" spans="1:5" ht="15.75" customHeight="1">
      <c r="A196" s="437" t="s">
        <v>853</v>
      </c>
      <c r="B196" s="436"/>
      <c r="C196" s="436"/>
      <c r="D196" s="436"/>
      <c r="E196" s="436"/>
    </row>
    <row r="197" spans="1:5" ht="14.25">
      <c r="A197" s="395"/>
      <c r="B197" s="396" t="s">
        <v>809</v>
      </c>
      <c r="C197" s="397">
        <v>6455209</v>
      </c>
      <c r="D197" s="397">
        <v>-248947</v>
      </c>
      <c r="E197" s="397">
        <v>6206262</v>
      </c>
    </row>
    <row r="198" spans="1:5" ht="14.25">
      <c r="A198" s="395"/>
      <c r="B198" s="396" t="s">
        <v>811</v>
      </c>
      <c r="C198" s="397">
        <v>396623</v>
      </c>
      <c r="D198" s="397">
        <v>-38450</v>
      </c>
      <c r="E198" s="397">
        <v>358173</v>
      </c>
    </row>
    <row r="199" spans="1:5" ht="14.25">
      <c r="A199" s="395"/>
      <c r="B199" s="396" t="s">
        <v>812</v>
      </c>
      <c r="C199" s="397">
        <v>4564847</v>
      </c>
      <c r="D199" s="397">
        <v>1850</v>
      </c>
      <c r="E199" s="397">
        <v>4566697</v>
      </c>
    </row>
    <row r="200" spans="1:5" ht="14.25">
      <c r="A200" s="395"/>
      <c r="B200" s="396" t="s">
        <v>854</v>
      </c>
      <c r="C200" s="397">
        <v>196698</v>
      </c>
      <c r="D200" s="397">
        <v>0</v>
      </c>
      <c r="E200" s="397">
        <v>196698</v>
      </c>
    </row>
    <row r="201" spans="1:5" ht="14.25">
      <c r="A201" s="395"/>
      <c r="B201" s="396" t="s">
        <v>814</v>
      </c>
      <c r="C201" s="397">
        <v>637041</v>
      </c>
      <c r="D201" s="397">
        <v>-212347</v>
      </c>
      <c r="E201" s="397">
        <v>424694</v>
      </c>
    </row>
    <row r="202" spans="1:5" ht="28.5">
      <c r="A202" s="395"/>
      <c r="B202" s="396" t="s">
        <v>815</v>
      </c>
      <c r="C202" s="397">
        <v>10000</v>
      </c>
      <c r="D202" s="397">
        <v>0</v>
      </c>
      <c r="E202" s="397">
        <v>10000</v>
      </c>
    </row>
    <row r="203" spans="1:5" ht="14.25">
      <c r="A203" s="395"/>
      <c r="B203" s="396" t="s">
        <v>816</v>
      </c>
      <c r="C203" s="397">
        <v>650000</v>
      </c>
      <c r="D203" s="397">
        <v>0</v>
      </c>
      <c r="E203" s="397">
        <v>650000</v>
      </c>
    </row>
    <row r="205" spans="1:5" ht="15.75" customHeight="1">
      <c r="A205" s="435" t="s">
        <v>855</v>
      </c>
      <c r="B205" s="436"/>
      <c r="C205" s="436"/>
      <c r="D205" s="436"/>
      <c r="E205" s="436"/>
    </row>
    <row r="206" spans="2:5" s="394" customFormat="1" ht="14.25">
      <c r="B206" s="389" t="s">
        <v>809</v>
      </c>
      <c r="C206" s="392">
        <v>659740</v>
      </c>
      <c r="D206" s="392">
        <v>0</v>
      </c>
      <c r="E206" s="392">
        <v>659740</v>
      </c>
    </row>
    <row r="207" spans="2:5" ht="15">
      <c r="B207" s="382" t="s">
        <v>811</v>
      </c>
      <c r="C207" s="391">
        <v>9740</v>
      </c>
      <c r="D207" s="391">
        <v>0</v>
      </c>
      <c r="E207" s="391">
        <v>9740</v>
      </c>
    </row>
    <row r="208" spans="2:5" ht="15">
      <c r="B208" s="382" t="s">
        <v>816</v>
      </c>
      <c r="C208" s="391">
        <v>650000</v>
      </c>
      <c r="D208" s="391">
        <v>0</v>
      </c>
      <c r="E208" s="391">
        <v>650000</v>
      </c>
    </row>
    <row r="210" spans="1:5" ht="15.75" customHeight="1">
      <c r="A210" s="435" t="s">
        <v>856</v>
      </c>
      <c r="B210" s="436"/>
      <c r="C210" s="436"/>
      <c r="D210" s="436"/>
      <c r="E210" s="436"/>
    </row>
    <row r="211" spans="2:5" s="394" customFormat="1" ht="14.25">
      <c r="B211" s="389" t="s">
        <v>809</v>
      </c>
      <c r="C211" s="392">
        <v>371108</v>
      </c>
      <c r="D211" s="392">
        <v>0</v>
      </c>
      <c r="E211" s="392">
        <v>371108</v>
      </c>
    </row>
    <row r="212" spans="2:5" ht="15">
      <c r="B212" s="382" t="s">
        <v>811</v>
      </c>
      <c r="C212" s="391">
        <v>174410</v>
      </c>
      <c r="D212" s="391">
        <v>0</v>
      </c>
      <c r="E212" s="391">
        <v>174410</v>
      </c>
    </row>
    <row r="213" spans="2:5" ht="15">
      <c r="B213" s="382" t="s">
        <v>854</v>
      </c>
      <c r="C213" s="391">
        <v>196698</v>
      </c>
      <c r="D213" s="391">
        <v>0</v>
      </c>
      <c r="E213" s="391">
        <v>196698</v>
      </c>
    </row>
    <row r="215" spans="1:5" ht="15.75" customHeight="1">
      <c r="A215" s="435" t="s">
        <v>857</v>
      </c>
      <c r="B215" s="436"/>
      <c r="C215" s="436"/>
      <c r="D215" s="436"/>
      <c r="E215" s="436"/>
    </row>
    <row r="216" spans="2:5" s="394" customFormat="1" ht="14.25">
      <c r="B216" s="389" t="s">
        <v>809</v>
      </c>
      <c r="C216" s="392">
        <v>115130</v>
      </c>
      <c r="D216" s="392">
        <v>-38450</v>
      </c>
      <c r="E216" s="392">
        <v>76680</v>
      </c>
    </row>
    <row r="217" spans="2:5" ht="15">
      <c r="B217" s="382" t="s">
        <v>811</v>
      </c>
      <c r="C217" s="391">
        <v>115130</v>
      </c>
      <c r="D217" s="391">
        <v>-38450</v>
      </c>
      <c r="E217" s="391">
        <v>76680</v>
      </c>
    </row>
    <row r="219" spans="1:5" ht="31.5" customHeight="1">
      <c r="A219" s="435" t="s">
        <v>858</v>
      </c>
      <c r="B219" s="436"/>
      <c r="C219" s="436"/>
      <c r="D219" s="436"/>
      <c r="E219" s="436"/>
    </row>
    <row r="220" spans="2:5" s="394" customFormat="1" ht="14.25">
      <c r="B220" s="389" t="s">
        <v>809</v>
      </c>
      <c r="C220" s="392">
        <v>3364873</v>
      </c>
      <c r="D220" s="392">
        <v>0</v>
      </c>
      <c r="E220" s="392">
        <v>3364873</v>
      </c>
    </row>
    <row r="221" spans="2:5" ht="15">
      <c r="B221" s="382" t="s">
        <v>812</v>
      </c>
      <c r="C221" s="391">
        <v>3364873</v>
      </c>
      <c r="D221" s="391">
        <v>0</v>
      </c>
      <c r="E221" s="391">
        <v>3364873</v>
      </c>
    </row>
    <row r="223" spans="1:5" ht="15.75" customHeight="1">
      <c r="A223" s="435" t="s">
        <v>859</v>
      </c>
      <c r="B223" s="436"/>
      <c r="C223" s="436"/>
      <c r="D223" s="436"/>
      <c r="E223" s="436"/>
    </row>
    <row r="224" spans="2:5" s="394" customFormat="1" ht="14.25">
      <c r="B224" s="389" t="s">
        <v>809</v>
      </c>
      <c r="C224" s="392">
        <v>10000</v>
      </c>
      <c r="D224" s="392">
        <v>0</v>
      </c>
      <c r="E224" s="392">
        <v>10000</v>
      </c>
    </row>
    <row r="225" spans="2:5" ht="30">
      <c r="B225" s="382" t="s">
        <v>815</v>
      </c>
      <c r="C225" s="391">
        <v>10000</v>
      </c>
      <c r="D225" s="391">
        <v>0</v>
      </c>
      <c r="E225" s="391">
        <v>10000</v>
      </c>
    </row>
    <row r="227" spans="1:5" ht="31.5" customHeight="1">
      <c r="A227" s="435" t="s">
        <v>860</v>
      </c>
      <c r="B227" s="436"/>
      <c r="C227" s="436"/>
      <c r="D227" s="436"/>
      <c r="E227" s="436"/>
    </row>
    <row r="228" spans="2:5" s="394" customFormat="1" ht="14.25">
      <c r="B228" s="389" t="s">
        <v>809</v>
      </c>
      <c r="C228" s="392">
        <v>50000</v>
      </c>
      <c r="D228" s="392">
        <v>0</v>
      </c>
      <c r="E228" s="392">
        <v>50000</v>
      </c>
    </row>
    <row r="229" spans="2:5" ht="15">
      <c r="B229" s="382" t="s">
        <v>812</v>
      </c>
      <c r="C229" s="391">
        <v>50000</v>
      </c>
      <c r="D229" s="391">
        <v>0</v>
      </c>
      <c r="E229" s="391">
        <v>50000</v>
      </c>
    </row>
    <row r="231" spans="1:5" ht="15.75" customHeight="1">
      <c r="A231" s="435" t="s">
        <v>861</v>
      </c>
      <c r="B231" s="436"/>
      <c r="C231" s="436"/>
      <c r="D231" s="436"/>
      <c r="E231" s="436"/>
    </row>
    <row r="232" spans="2:5" s="394" customFormat="1" ht="14.25">
      <c r="B232" s="389" t="s">
        <v>809</v>
      </c>
      <c r="C232" s="392">
        <v>583702</v>
      </c>
      <c r="D232" s="392">
        <v>0</v>
      </c>
      <c r="E232" s="392">
        <v>583702</v>
      </c>
    </row>
    <row r="233" spans="2:5" ht="15">
      <c r="B233" s="382" t="s">
        <v>812</v>
      </c>
      <c r="C233" s="391">
        <v>583702</v>
      </c>
      <c r="D233" s="391">
        <v>0</v>
      </c>
      <c r="E233" s="391">
        <v>583702</v>
      </c>
    </row>
    <row r="235" spans="1:5" ht="15.75" customHeight="1">
      <c r="A235" s="435" t="s">
        <v>862</v>
      </c>
      <c r="B235" s="436"/>
      <c r="C235" s="436"/>
      <c r="D235" s="436"/>
      <c r="E235" s="436"/>
    </row>
    <row r="236" spans="2:5" s="394" customFormat="1" ht="14.25">
      <c r="B236" s="389" t="s">
        <v>809</v>
      </c>
      <c r="C236" s="392">
        <v>128305</v>
      </c>
      <c r="D236" s="392">
        <v>0</v>
      </c>
      <c r="E236" s="392">
        <v>128305</v>
      </c>
    </row>
    <row r="237" spans="2:5" ht="15">
      <c r="B237" s="382" t="s">
        <v>812</v>
      </c>
      <c r="C237" s="391">
        <v>128305</v>
      </c>
      <c r="D237" s="391">
        <v>0</v>
      </c>
      <c r="E237" s="391">
        <v>128305</v>
      </c>
    </row>
    <row r="239" spans="1:5" ht="31.5" customHeight="1">
      <c r="A239" s="435" t="s">
        <v>863</v>
      </c>
      <c r="B239" s="436"/>
      <c r="C239" s="436"/>
      <c r="D239" s="436"/>
      <c r="E239" s="436"/>
    </row>
    <row r="240" spans="2:5" s="394" customFormat="1" ht="14.25">
      <c r="B240" s="389" t="s">
        <v>809</v>
      </c>
      <c r="C240" s="392">
        <v>269967</v>
      </c>
      <c r="D240" s="392">
        <v>0</v>
      </c>
      <c r="E240" s="392">
        <v>269967</v>
      </c>
    </row>
    <row r="241" spans="2:5" ht="15">
      <c r="B241" s="382" t="s">
        <v>812</v>
      </c>
      <c r="C241" s="391">
        <v>269967</v>
      </c>
      <c r="D241" s="391">
        <v>0</v>
      </c>
      <c r="E241" s="391">
        <v>269967</v>
      </c>
    </row>
    <row r="243" spans="1:5" ht="15.75" customHeight="1">
      <c r="A243" s="435" t="s">
        <v>864</v>
      </c>
      <c r="B243" s="436"/>
      <c r="C243" s="436"/>
      <c r="D243" s="436"/>
      <c r="E243" s="436"/>
    </row>
    <row r="244" spans="2:5" s="394" customFormat="1" ht="14.25">
      <c r="B244" s="389" t="s">
        <v>809</v>
      </c>
      <c r="C244" s="392">
        <v>10000</v>
      </c>
      <c r="D244" s="392">
        <v>0</v>
      </c>
      <c r="E244" s="392">
        <v>10000</v>
      </c>
    </row>
    <row r="245" spans="2:5" ht="15">
      <c r="B245" s="382" t="s">
        <v>812</v>
      </c>
      <c r="C245" s="391">
        <v>10000</v>
      </c>
      <c r="D245" s="391">
        <v>0</v>
      </c>
      <c r="E245" s="391">
        <v>10000</v>
      </c>
    </row>
    <row r="247" spans="1:5" ht="15.75" customHeight="1">
      <c r="A247" s="435" t="s">
        <v>865</v>
      </c>
      <c r="B247" s="436"/>
      <c r="C247" s="436"/>
      <c r="D247" s="436"/>
      <c r="E247" s="436"/>
    </row>
    <row r="248" spans="2:5" s="394" customFormat="1" ht="14.25">
      <c r="B248" s="389" t="s">
        <v>809</v>
      </c>
      <c r="C248" s="392">
        <v>5000</v>
      </c>
      <c r="D248" s="392">
        <v>0</v>
      </c>
      <c r="E248" s="392">
        <v>5000</v>
      </c>
    </row>
    <row r="249" spans="2:5" ht="15">
      <c r="B249" s="382" t="s">
        <v>812</v>
      </c>
      <c r="C249" s="391">
        <v>5000</v>
      </c>
      <c r="D249" s="391">
        <v>0</v>
      </c>
      <c r="E249" s="391">
        <v>5000</v>
      </c>
    </row>
    <row r="251" spans="1:5" ht="15.75" customHeight="1">
      <c r="A251" s="435" t="s">
        <v>866</v>
      </c>
      <c r="B251" s="436"/>
      <c r="C251" s="436"/>
      <c r="D251" s="436"/>
      <c r="E251" s="436"/>
    </row>
    <row r="252" spans="2:5" s="394" customFormat="1" ht="14.25">
      <c r="B252" s="389" t="s">
        <v>809</v>
      </c>
      <c r="C252" s="392">
        <v>111000</v>
      </c>
      <c r="D252" s="392">
        <v>1850</v>
      </c>
      <c r="E252" s="392">
        <v>112850</v>
      </c>
    </row>
    <row r="253" spans="2:5" ht="15">
      <c r="B253" s="382" t="s">
        <v>812</v>
      </c>
      <c r="C253" s="391">
        <v>111000</v>
      </c>
      <c r="D253" s="391">
        <v>1850</v>
      </c>
      <c r="E253" s="391">
        <v>112850</v>
      </c>
    </row>
    <row r="255" spans="1:5" ht="15.75" customHeight="1">
      <c r="A255" s="435" t="s">
        <v>867</v>
      </c>
      <c r="B255" s="436"/>
      <c r="C255" s="436"/>
      <c r="D255" s="436"/>
      <c r="E255" s="436"/>
    </row>
    <row r="256" spans="2:5" s="394" customFormat="1" ht="14.25">
      <c r="B256" s="389" t="s">
        <v>809</v>
      </c>
      <c r="C256" s="392">
        <v>3000</v>
      </c>
      <c r="D256" s="392">
        <v>0</v>
      </c>
      <c r="E256" s="392">
        <v>3000</v>
      </c>
    </row>
    <row r="257" spans="2:5" ht="15">
      <c r="B257" s="382" t="s">
        <v>812</v>
      </c>
      <c r="C257" s="391">
        <v>3000</v>
      </c>
      <c r="D257" s="391">
        <v>0</v>
      </c>
      <c r="E257" s="391">
        <v>3000</v>
      </c>
    </row>
    <row r="259" spans="1:5" ht="15.75" customHeight="1">
      <c r="A259" s="435" t="s">
        <v>868</v>
      </c>
      <c r="B259" s="436"/>
      <c r="C259" s="436"/>
      <c r="D259" s="436"/>
      <c r="E259" s="436"/>
    </row>
    <row r="260" spans="2:5" s="394" customFormat="1" ht="14.25">
      <c r="B260" s="389" t="s">
        <v>809</v>
      </c>
      <c r="C260" s="392">
        <v>97343</v>
      </c>
      <c r="D260" s="392">
        <v>0</v>
      </c>
      <c r="E260" s="392">
        <v>97343</v>
      </c>
    </row>
    <row r="261" spans="2:5" ht="15">
      <c r="B261" s="382" t="s">
        <v>811</v>
      </c>
      <c r="C261" s="391">
        <v>97343</v>
      </c>
      <c r="D261" s="391">
        <v>0</v>
      </c>
      <c r="E261" s="391">
        <v>97343</v>
      </c>
    </row>
    <row r="263" spans="1:5" ht="15.75" customHeight="1">
      <c r="A263" s="435" t="s">
        <v>869</v>
      </c>
      <c r="B263" s="436"/>
      <c r="C263" s="436"/>
      <c r="D263" s="436"/>
      <c r="E263" s="436"/>
    </row>
    <row r="264" spans="2:5" s="394" customFormat="1" ht="14.25">
      <c r="B264" s="389" t="s">
        <v>809</v>
      </c>
      <c r="C264" s="392">
        <v>36000</v>
      </c>
      <c r="D264" s="392">
        <v>0</v>
      </c>
      <c r="E264" s="392">
        <v>36000</v>
      </c>
    </row>
    <row r="265" spans="2:5" ht="15">
      <c r="B265" s="382" t="s">
        <v>812</v>
      </c>
      <c r="C265" s="391">
        <v>36000</v>
      </c>
      <c r="D265" s="391">
        <v>0</v>
      </c>
      <c r="E265" s="391">
        <v>36000</v>
      </c>
    </row>
    <row r="267" spans="1:5" ht="15.75" customHeight="1">
      <c r="A267" s="435" t="s">
        <v>870</v>
      </c>
      <c r="B267" s="436"/>
      <c r="C267" s="436"/>
      <c r="D267" s="436"/>
      <c r="E267" s="436"/>
    </row>
    <row r="268" spans="2:5" s="394" customFormat="1" ht="14.25">
      <c r="B268" s="389" t="s">
        <v>809</v>
      </c>
      <c r="C268" s="392">
        <v>3000</v>
      </c>
      <c r="D268" s="392">
        <v>0</v>
      </c>
      <c r="E268" s="392">
        <v>3000</v>
      </c>
    </row>
    <row r="269" spans="2:5" ht="15">
      <c r="B269" s="382" t="s">
        <v>812</v>
      </c>
      <c r="C269" s="391">
        <v>3000</v>
      </c>
      <c r="D269" s="391">
        <v>0</v>
      </c>
      <c r="E269" s="391">
        <v>3000</v>
      </c>
    </row>
    <row r="271" spans="1:5" ht="15.75" customHeight="1">
      <c r="A271" s="435" t="s">
        <v>871</v>
      </c>
      <c r="B271" s="436"/>
      <c r="C271" s="436"/>
      <c r="D271" s="436"/>
      <c r="E271" s="436"/>
    </row>
    <row r="272" spans="2:5" s="394" customFormat="1" ht="14.25">
      <c r="B272" s="389" t="s">
        <v>809</v>
      </c>
      <c r="C272" s="392">
        <v>637041</v>
      </c>
      <c r="D272" s="392">
        <v>-212347</v>
      </c>
      <c r="E272" s="392">
        <v>424694</v>
      </c>
    </row>
    <row r="273" spans="2:5" ht="15">
      <c r="B273" s="382" t="s">
        <v>814</v>
      </c>
      <c r="C273" s="391">
        <v>637041</v>
      </c>
      <c r="D273" s="391">
        <v>-212347</v>
      </c>
      <c r="E273" s="391">
        <v>424694</v>
      </c>
    </row>
    <row r="274" ht="26.25" customHeight="1"/>
    <row r="275" spans="1:5" ht="31.5" customHeight="1">
      <c r="A275" s="437" t="s">
        <v>872</v>
      </c>
      <c r="B275" s="436"/>
      <c r="C275" s="436"/>
      <c r="D275" s="436"/>
      <c r="E275" s="436"/>
    </row>
    <row r="276" spans="1:5" ht="14.25">
      <c r="A276" s="395"/>
      <c r="B276" s="396" t="s">
        <v>809</v>
      </c>
      <c r="C276" s="397">
        <v>289665</v>
      </c>
      <c r="D276" s="397">
        <v>0</v>
      </c>
      <c r="E276" s="397">
        <v>289665</v>
      </c>
    </row>
    <row r="277" spans="1:5" ht="14.25">
      <c r="A277" s="395"/>
      <c r="B277" s="396" t="s">
        <v>810</v>
      </c>
      <c r="C277" s="397">
        <v>276668</v>
      </c>
      <c r="D277" s="397">
        <v>0</v>
      </c>
      <c r="E277" s="397">
        <v>276668</v>
      </c>
    </row>
    <row r="278" spans="1:5" ht="14.25">
      <c r="A278" s="395"/>
      <c r="B278" s="396" t="s">
        <v>811</v>
      </c>
      <c r="C278" s="397">
        <v>9997</v>
      </c>
      <c r="D278" s="397">
        <v>0</v>
      </c>
      <c r="E278" s="397">
        <v>9997</v>
      </c>
    </row>
    <row r="279" spans="1:5" ht="14.25">
      <c r="A279" s="395"/>
      <c r="B279" s="396" t="s">
        <v>813</v>
      </c>
      <c r="C279" s="397">
        <v>3000</v>
      </c>
      <c r="D279" s="397">
        <v>0</v>
      </c>
      <c r="E279" s="397">
        <v>3000</v>
      </c>
    </row>
    <row r="281" spans="1:5" ht="15.75" customHeight="1">
      <c r="A281" s="435" t="s">
        <v>873</v>
      </c>
      <c r="B281" s="436"/>
      <c r="C281" s="436"/>
      <c r="D281" s="436"/>
      <c r="E281" s="436"/>
    </row>
    <row r="282" spans="2:5" s="394" customFormat="1" ht="14.25">
      <c r="B282" s="389" t="s">
        <v>809</v>
      </c>
      <c r="C282" s="392">
        <v>289665</v>
      </c>
      <c r="D282" s="392">
        <v>0</v>
      </c>
      <c r="E282" s="392">
        <v>289665</v>
      </c>
    </row>
    <row r="283" spans="2:5" ht="15">
      <c r="B283" s="382" t="s">
        <v>810</v>
      </c>
      <c r="C283" s="391">
        <v>276668</v>
      </c>
      <c r="D283" s="391">
        <v>0</v>
      </c>
      <c r="E283" s="391">
        <v>276668</v>
      </c>
    </row>
    <row r="284" spans="2:5" ht="15">
      <c r="B284" s="382" t="s">
        <v>811</v>
      </c>
      <c r="C284" s="391">
        <v>9997</v>
      </c>
      <c r="D284" s="391">
        <v>0</v>
      </c>
      <c r="E284" s="391">
        <v>9997</v>
      </c>
    </row>
    <row r="285" spans="2:5" ht="15">
      <c r="B285" s="382" t="s">
        <v>813</v>
      </c>
      <c r="C285" s="391">
        <v>3000</v>
      </c>
      <c r="D285" s="391">
        <v>0</v>
      </c>
      <c r="E285" s="391">
        <v>3000</v>
      </c>
    </row>
    <row r="286" ht="24" customHeight="1"/>
    <row r="287" spans="1:5" ht="31.5" customHeight="1">
      <c r="A287" s="437" t="s">
        <v>874</v>
      </c>
      <c r="B287" s="436"/>
      <c r="C287" s="436"/>
      <c r="D287" s="436"/>
      <c r="E287" s="436"/>
    </row>
    <row r="288" spans="1:5" ht="14.25">
      <c r="A288" s="395"/>
      <c r="B288" s="396" t="s">
        <v>809</v>
      </c>
      <c r="C288" s="397">
        <v>3258124</v>
      </c>
      <c r="D288" s="397">
        <v>0</v>
      </c>
      <c r="E288" s="397">
        <v>3258124</v>
      </c>
    </row>
    <row r="289" spans="1:5" ht="14.25">
      <c r="A289" s="395"/>
      <c r="B289" s="396" t="s">
        <v>810</v>
      </c>
      <c r="C289" s="397">
        <v>2913170</v>
      </c>
      <c r="D289" s="397">
        <v>0</v>
      </c>
      <c r="E289" s="397">
        <v>2913170</v>
      </c>
    </row>
    <row r="290" spans="1:5" ht="14.25">
      <c r="A290" s="395"/>
      <c r="B290" s="396" t="s">
        <v>811</v>
      </c>
      <c r="C290" s="397">
        <v>321876</v>
      </c>
      <c r="D290" s="397">
        <v>0</v>
      </c>
      <c r="E290" s="397">
        <v>321876</v>
      </c>
    </row>
    <row r="291" spans="1:5" ht="14.25">
      <c r="A291" s="395"/>
      <c r="B291" s="396" t="s">
        <v>813</v>
      </c>
      <c r="C291" s="397">
        <v>20578</v>
      </c>
      <c r="D291" s="397">
        <v>0</v>
      </c>
      <c r="E291" s="397">
        <v>20578</v>
      </c>
    </row>
    <row r="292" spans="1:5" ht="14.25">
      <c r="A292" s="395"/>
      <c r="B292" s="396" t="s">
        <v>814</v>
      </c>
      <c r="C292" s="397">
        <v>2500</v>
      </c>
      <c r="D292" s="397">
        <v>0</v>
      </c>
      <c r="E292" s="397">
        <v>2500</v>
      </c>
    </row>
    <row r="294" spans="1:5" ht="15.75" customHeight="1">
      <c r="A294" s="435" t="s">
        <v>875</v>
      </c>
      <c r="B294" s="436"/>
      <c r="C294" s="436"/>
      <c r="D294" s="436"/>
      <c r="E294" s="436"/>
    </row>
    <row r="295" spans="2:5" s="394" customFormat="1" ht="14.25">
      <c r="B295" s="389" t="s">
        <v>809</v>
      </c>
      <c r="C295" s="392">
        <v>3258124</v>
      </c>
      <c r="D295" s="392">
        <v>0</v>
      </c>
      <c r="E295" s="392">
        <v>3258124</v>
      </c>
    </row>
    <row r="296" spans="2:5" ht="15">
      <c r="B296" s="382" t="s">
        <v>810</v>
      </c>
      <c r="C296" s="391">
        <v>2913170</v>
      </c>
      <c r="D296" s="391">
        <v>0</v>
      </c>
      <c r="E296" s="391">
        <v>2913170</v>
      </c>
    </row>
    <row r="297" spans="2:5" ht="15">
      <c r="B297" s="382" t="s">
        <v>811</v>
      </c>
      <c r="C297" s="391">
        <v>321876</v>
      </c>
      <c r="D297" s="391">
        <v>0</v>
      </c>
      <c r="E297" s="391">
        <v>321876</v>
      </c>
    </row>
    <row r="298" spans="2:5" ht="15">
      <c r="B298" s="382" t="s">
        <v>813</v>
      </c>
      <c r="C298" s="391">
        <v>20578</v>
      </c>
      <c r="D298" s="391">
        <v>0</v>
      </c>
      <c r="E298" s="391">
        <v>20578</v>
      </c>
    </row>
    <row r="299" spans="2:5" ht="15">
      <c r="B299" s="382" t="s">
        <v>814</v>
      </c>
      <c r="C299" s="391">
        <v>2500</v>
      </c>
      <c r="D299" s="391">
        <v>0</v>
      </c>
      <c r="E299" s="391">
        <v>2500</v>
      </c>
    </row>
    <row r="300" ht="30" customHeight="1"/>
    <row r="301" spans="1:5" ht="31.5" customHeight="1">
      <c r="A301" s="437" t="s">
        <v>876</v>
      </c>
      <c r="B301" s="436"/>
      <c r="C301" s="436"/>
      <c r="D301" s="436"/>
      <c r="E301" s="436"/>
    </row>
    <row r="302" spans="1:5" ht="14.25">
      <c r="A302" s="395"/>
      <c r="B302" s="396" t="s">
        <v>809</v>
      </c>
      <c r="C302" s="397">
        <v>661231</v>
      </c>
      <c r="D302" s="397">
        <v>0</v>
      </c>
      <c r="E302" s="397">
        <v>661231</v>
      </c>
    </row>
    <row r="303" spans="1:5" ht="14.25">
      <c r="A303" s="395"/>
      <c r="B303" s="396" t="s">
        <v>810</v>
      </c>
      <c r="C303" s="397">
        <v>355889</v>
      </c>
      <c r="D303" s="397">
        <v>-3700</v>
      </c>
      <c r="E303" s="397">
        <v>352189</v>
      </c>
    </row>
    <row r="304" spans="1:5" ht="14.25">
      <c r="A304" s="395"/>
      <c r="B304" s="396" t="s">
        <v>811</v>
      </c>
      <c r="C304" s="397">
        <v>190137</v>
      </c>
      <c r="D304" s="397">
        <v>-2108</v>
      </c>
      <c r="E304" s="397">
        <v>188029</v>
      </c>
    </row>
    <row r="305" spans="1:5" ht="14.25">
      <c r="A305" s="395"/>
      <c r="B305" s="396" t="s">
        <v>813</v>
      </c>
      <c r="C305" s="397">
        <v>56857</v>
      </c>
      <c r="D305" s="397">
        <v>5808</v>
      </c>
      <c r="E305" s="397">
        <v>62665</v>
      </c>
    </row>
    <row r="306" spans="1:5" ht="14.25">
      <c r="A306" s="395"/>
      <c r="B306" s="396" t="s">
        <v>814</v>
      </c>
      <c r="C306" s="397">
        <v>58348</v>
      </c>
      <c r="D306" s="397">
        <v>0</v>
      </c>
      <c r="E306" s="397">
        <v>58348</v>
      </c>
    </row>
    <row r="308" spans="1:5" ht="15.75" customHeight="1">
      <c r="A308" s="435" t="s">
        <v>877</v>
      </c>
      <c r="B308" s="436"/>
      <c r="C308" s="436"/>
      <c r="D308" s="436"/>
      <c r="E308" s="436"/>
    </row>
    <row r="309" spans="2:5" s="394" customFormat="1" ht="14.25">
      <c r="B309" s="389" t="s">
        <v>809</v>
      </c>
      <c r="C309" s="392">
        <v>407802</v>
      </c>
      <c r="D309" s="392">
        <v>0</v>
      </c>
      <c r="E309" s="392">
        <v>407802</v>
      </c>
    </row>
    <row r="310" spans="2:5" ht="15">
      <c r="B310" s="382" t="s">
        <v>810</v>
      </c>
      <c r="C310" s="391">
        <v>310589</v>
      </c>
      <c r="D310" s="391">
        <v>0</v>
      </c>
      <c r="E310" s="391">
        <v>310589</v>
      </c>
    </row>
    <row r="311" spans="2:5" ht="15">
      <c r="B311" s="382" t="s">
        <v>811</v>
      </c>
      <c r="C311" s="391">
        <v>85882</v>
      </c>
      <c r="D311" s="391">
        <v>0</v>
      </c>
      <c r="E311" s="391">
        <v>85882</v>
      </c>
    </row>
    <row r="312" spans="2:5" ht="15">
      <c r="B312" s="382" t="s">
        <v>813</v>
      </c>
      <c r="C312" s="391">
        <v>11331</v>
      </c>
      <c r="D312" s="391">
        <v>0</v>
      </c>
      <c r="E312" s="391">
        <v>11331</v>
      </c>
    </row>
    <row r="314" spans="1:5" ht="15.75" customHeight="1">
      <c r="A314" s="435" t="s">
        <v>878</v>
      </c>
      <c r="B314" s="436"/>
      <c r="C314" s="436"/>
      <c r="D314" s="436"/>
      <c r="E314" s="436"/>
    </row>
    <row r="315" spans="2:5" s="394" customFormat="1" ht="14.25">
      <c r="B315" s="389" t="s">
        <v>809</v>
      </c>
      <c r="C315" s="392">
        <v>115437</v>
      </c>
      <c r="D315" s="392">
        <v>0</v>
      </c>
      <c r="E315" s="392">
        <v>115437</v>
      </c>
    </row>
    <row r="316" spans="2:5" ht="15">
      <c r="B316" s="382" t="s">
        <v>810</v>
      </c>
      <c r="C316" s="391">
        <v>14400</v>
      </c>
      <c r="D316" s="391">
        <v>-3700</v>
      </c>
      <c r="E316" s="391">
        <v>10700</v>
      </c>
    </row>
    <row r="317" spans="2:5" ht="15">
      <c r="B317" s="382" t="s">
        <v>811</v>
      </c>
      <c r="C317" s="391">
        <v>17163</v>
      </c>
      <c r="D317" s="391">
        <v>-2108</v>
      </c>
      <c r="E317" s="391">
        <v>15055</v>
      </c>
    </row>
    <row r="318" spans="2:5" ht="15">
      <c r="B318" s="382" t="s">
        <v>813</v>
      </c>
      <c r="C318" s="391">
        <v>25526</v>
      </c>
      <c r="D318" s="391">
        <v>5808</v>
      </c>
      <c r="E318" s="391">
        <v>31334</v>
      </c>
    </row>
    <row r="319" spans="2:5" ht="15">
      <c r="B319" s="382" t="s">
        <v>814</v>
      </c>
      <c r="C319" s="391">
        <v>58348</v>
      </c>
      <c r="D319" s="391">
        <v>0</v>
      </c>
      <c r="E319" s="391">
        <v>58348</v>
      </c>
    </row>
    <row r="321" spans="1:5" ht="15.75" customHeight="1">
      <c r="A321" s="435" t="s">
        <v>879</v>
      </c>
      <c r="B321" s="436"/>
      <c r="C321" s="436"/>
      <c r="D321" s="436"/>
      <c r="E321" s="436"/>
    </row>
    <row r="322" spans="2:5" s="394" customFormat="1" ht="14.25">
      <c r="B322" s="389" t="s">
        <v>809</v>
      </c>
      <c r="C322" s="392">
        <v>137992</v>
      </c>
      <c r="D322" s="392">
        <v>0</v>
      </c>
      <c r="E322" s="392">
        <v>137992</v>
      </c>
    </row>
    <row r="323" spans="2:5" ht="15">
      <c r="B323" s="382" t="s">
        <v>810</v>
      </c>
      <c r="C323" s="391">
        <v>30900</v>
      </c>
      <c r="D323" s="391">
        <v>0</v>
      </c>
      <c r="E323" s="391">
        <v>30900</v>
      </c>
    </row>
    <row r="324" spans="2:5" ht="15">
      <c r="B324" s="382" t="s">
        <v>811</v>
      </c>
      <c r="C324" s="391">
        <v>87092</v>
      </c>
      <c r="D324" s="391">
        <v>0</v>
      </c>
      <c r="E324" s="391">
        <v>87092</v>
      </c>
    </row>
    <row r="325" spans="2:5" ht="15">
      <c r="B325" s="382" t="s">
        <v>813</v>
      </c>
      <c r="C325" s="391">
        <v>20000</v>
      </c>
      <c r="D325" s="391">
        <v>0</v>
      </c>
      <c r="E325" s="391">
        <v>20000</v>
      </c>
    </row>
    <row r="326" ht="23.25" customHeight="1"/>
    <row r="327" spans="1:5" ht="31.5" customHeight="1">
      <c r="A327" s="437" t="s">
        <v>880</v>
      </c>
      <c r="B327" s="436"/>
      <c r="C327" s="436"/>
      <c r="D327" s="436"/>
      <c r="E327" s="436"/>
    </row>
    <row r="328" spans="1:5" ht="14.25">
      <c r="A328" s="395"/>
      <c r="B328" s="396" t="s">
        <v>809</v>
      </c>
      <c r="C328" s="397">
        <v>572892</v>
      </c>
      <c r="D328" s="397">
        <v>0</v>
      </c>
      <c r="E328" s="397">
        <v>572892</v>
      </c>
    </row>
    <row r="329" spans="1:5" ht="14.25">
      <c r="A329" s="395"/>
      <c r="B329" s="396" t="s">
        <v>810</v>
      </c>
      <c r="C329" s="397">
        <v>365071</v>
      </c>
      <c r="D329" s="397">
        <v>0</v>
      </c>
      <c r="E329" s="397">
        <v>365071</v>
      </c>
    </row>
    <row r="330" spans="1:5" ht="14.25">
      <c r="A330" s="395"/>
      <c r="B330" s="396" t="s">
        <v>811</v>
      </c>
      <c r="C330" s="397">
        <v>200821</v>
      </c>
      <c r="D330" s="397">
        <v>-760</v>
      </c>
      <c r="E330" s="397">
        <v>200061</v>
      </c>
    </row>
    <row r="331" spans="1:5" ht="14.25">
      <c r="A331" s="395"/>
      <c r="B331" s="396" t="s">
        <v>813</v>
      </c>
      <c r="C331" s="397">
        <v>7000</v>
      </c>
      <c r="D331" s="397">
        <v>760</v>
      </c>
      <c r="E331" s="397">
        <v>7760</v>
      </c>
    </row>
    <row r="333" spans="1:5" ht="15.75" customHeight="1">
      <c r="A333" s="435" t="s">
        <v>881</v>
      </c>
      <c r="B333" s="436"/>
      <c r="C333" s="436"/>
      <c r="D333" s="436"/>
      <c r="E333" s="436"/>
    </row>
    <row r="334" spans="2:5" s="394" customFormat="1" ht="14.25">
      <c r="B334" s="389" t="s">
        <v>809</v>
      </c>
      <c r="C334" s="392">
        <v>572892</v>
      </c>
      <c r="D334" s="392">
        <v>0</v>
      </c>
      <c r="E334" s="392">
        <v>572892</v>
      </c>
    </row>
    <row r="335" spans="2:5" ht="15">
      <c r="B335" s="382" t="s">
        <v>810</v>
      </c>
      <c r="C335" s="391">
        <v>365071</v>
      </c>
      <c r="D335" s="391">
        <v>0</v>
      </c>
      <c r="E335" s="391">
        <v>365071</v>
      </c>
    </row>
    <row r="336" spans="2:5" ht="15">
      <c r="B336" s="382" t="s">
        <v>811</v>
      </c>
      <c r="C336" s="391">
        <v>200821</v>
      </c>
      <c r="D336" s="391">
        <v>-760</v>
      </c>
      <c r="E336" s="391">
        <v>200061</v>
      </c>
    </row>
    <row r="337" spans="2:5" ht="15">
      <c r="B337" s="382" t="s">
        <v>813</v>
      </c>
      <c r="C337" s="391">
        <v>7000</v>
      </c>
      <c r="D337" s="391">
        <v>760</v>
      </c>
      <c r="E337" s="391">
        <v>7760</v>
      </c>
    </row>
    <row r="339" spans="1:5" ht="15.75" customHeight="1">
      <c r="A339" s="437" t="s">
        <v>882</v>
      </c>
      <c r="B339" s="436"/>
      <c r="C339" s="436"/>
      <c r="D339" s="436"/>
      <c r="E339" s="436"/>
    </row>
    <row r="340" spans="1:5" ht="14.25">
      <c r="A340" s="395"/>
      <c r="B340" s="396" t="s">
        <v>809</v>
      </c>
      <c r="C340" s="397">
        <v>9702484</v>
      </c>
      <c r="D340" s="397">
        <v>-12837</v>
      </c>
      <c r="E340" s="397">
        <v>9689647</v>
      </c>
    </row>
    <row r="341" spans="1:5" ht="14.25">
      <c r="A341" s="395"/>
      <c r="B341" s="396" t="s">
        <v>810</v>
      </c>
      <c r="C341" s="397">
        <v>918376</v>
      </c>
      <c r="D341" s="397">
        <v>0</v>
      </c>
      <c r="E341" s="397">
        <v>918376</v>
      </c>
    </row>
    <row r="342" spans="1:5" ht="14.25">
      <c r="A342" s="395"/>
      <c r="B342" s="396" t="s">
        <v>811</v>
      </c>
      <c r="C342" s="397">
        <v>5538507</v>
      </c>
      <c r="D342" s="397">
        <v>96666</v>
      </c>
      <c r="E342" s="397">
        <v>5635173</v>
      </c>
    </row>
    <row r="343" spans="1:5" ht="14.25">
      <c r="A343" s="395"/>
      <c r="B343" s="396" t="s">
        <v>812</v>
      </c>
      <c r="C343" s="397">
        <v>118778</v>
      </c>
      <c r="D343" s="397">
        <v>-15038</v>
      </c>
      <c r="E343" s="397">
        <v>103740</v>
      </c>
    </row>
    <row r="344" spans="1:5" ht="14.25">
      <c r="A344" s="395"/>
      <c r="B344" s="396" t="s">
        <v>813</v>
      </c>
      <c r="C344" s="397">
        <v>3081223</v>
      </c>
      <c r="D344" s="397">
        <v>-94465</v>
      </c>
      <c r="E344" s="397">
        <v>2986758</v>
      </c>
    </row>
    <row r="345" spans="1:5" ht="14.25">
      <c r="A345" s="395"/>
      <c r="B345" s="396" t="s">
        <v>814</v>
      </c>
      <c r="C345" s="397">
        <v>45600</v>
      </c>
      <c r="D345" s="397">
        <v>0</v>
      </c>
      <c r="E345" s="397">
        <v>45600</v>
      </c>
    </row>
    <row r="347" spans="1:5" ht="15.75" customHeight="1">
      <c r="A347" s="435" t="s">
        <v>883</v>
      </c>
      <c r="B347" s="436"/>
      <c r="C347" s="436"/>
      <c r="D347" s="436"/>
      <c r="E347" s="436"/>
    </row>
    <row r="348" spans="2:5" s="394" customFormat="1" ht="14.25">
      <c r="B348" s="389" t="s">
        <v>809</v>
      </c>
      <c r="C348" s="392">
        <v>1998423</v>
      </c>
      <c r="D348" s="392">
        <v>0</v>
      </c>
      <c r="E348" s="392">
        <v>1998423</v>
      </c>
    </row>
    <row r="349" spans="2:5" ht="15">
      <c r="B349" s="382" t="s">
        <v>810</v>
      </c>
      <c r="C349" s="391">
        <v>70000</v>
      </c>
      <c r="D349" s="391">
        <v>0</v>
      </c>
      <c r="E349" s="391">
        <v>70000</v>
      </c>
    </row>
    <row r="350" spans="2:5" ht="15">
      <c r="B350" s="382" t="s">
        <v>811</v>
      </c>
      <c r="C350" s="391">
        <v>1574209</v>
      </c>
      <c r="D350" s="391">
        <v>79938</v>
      </c>
      <c r="E350" s="391">
        <v>1654147</v>
      </c>
    </row>
    <row r="351" spans="2:5" ht="15">
      <c r="B351" s="382" t="s">
        <v>813</v>
      </c>
      <c r="C351" s="391">
        <v>354214</v>
      </c>
      <c r="D351" s="391">
        <v>-79938</v>
      </c>
      <c r="E351" s="391">
        <v>274276</v>
      </c>
    </row>
    <row r="353" spans="1:5" ht="15.75" customHeight="1">
      <c r="A353" s="435" t="s">
        <v>884</v>
      </c>
      <c r="B353" s="436"/>
      <c r="C353" s="436"/>
      <c r="D353" s="436"/>
      <c r="E353" s="436"/>
    </row>
    <row r="354" spans="2:5" s="394" customFormat="1" ht="14.25">
      <c r="B354" s="389" t="s">
        <v>809</v>
      </c>
      <c r="C354" s="392">
        <v>1609429</v>
      </c>
      <c r="D354" s="392">
        <v>0</v>
      </c>
      <c r="E354" s="392">
        <v>1609429</v>
      </c>
    </row>
    <row r="355" spans="2:5" ht="15">
      <c r="B355" s="382" t="s">
        <v>813</v>
      </c>
      <c r="C355" s="391">
        <v>1609429</v>
      </c>
      <c r="D355" s="391">
        <v>0</v>
      </c>
      <c r="E355" s="391">
        <v>1609429</v>
      </c>
    </row>
    <row r="357" spans="1:5" ht="31.5" customHeight="1">
      <c r="A357" s="435" t="s">
        <v>885</v>
      </c>
      <c r="B357" s="436"/>
      <c r="C357" s="436"/>
      <c r="D357" s="436"/>
      <c r="E357" s="436"/>
    </row>
    <row r="358" spans="2:5" s="394" customFormat="1" ht="14.25">
      <c r="B358" s="389" t="s">
        <v>809</v>
      </c>
      <c r="C358" s="392">
        <v>738671</v>
      </c>
      <c r="D358" s="392">
        <v>-12837</v>
      </c>
      <c r="E358" s="392">
        <v>725834</v>
      </c>
    </row>
    <row r="359" spans="2:5" ht="15">
      <c r="B359" s="382" t="s">
        <v>813</v>
      </c>
      <c r="C359" s="391">
        <v>738671</v>
      </c>
      <c r="D359" s="391">
        <v>-12837</v>
      </c>
      <c r="E359" s="391">
        <v>725834</v>
      </c>
    </row>
    <row r="361" spans="1:5" ht="15.75" customHeight="1">
      <c r="A361" s="435" t="s">
        <v>886</v>
      </c>
      <c r="B361" s="436"/>
      <c r="C361" s="436"/>
      <c r="D361" s="436"/>
      <c r="E361" s="436"/>
    </row>
    <row r="362" spans="2:5" s="394" customFormat="1" ht="14.25">
      <c r="B362" s="389" t="s">
        <v>809</v>
      </c>
      <c r="C362" s="392">
        <v>1524428</v>
      </c>
      <c r="D362" s="392">
        <v>0</v>
      </c>
      <c r="E362" s="392">
        <v>1524428</v>
      </c>
    </row>
    <row r="363" spans="2:5" ht="15">
      <c r="B363" s="382" t="s">
        <v>811</v>
      </c>
      <c r="C363" s="391">
        <v>1524428</v>
      </c>
      <c r="D363" s="391">
        <v>0</v>
      </c>
      <c r="E363" s="391">
        <v>1524428</v>
      </c>
    </row>
    <row r="365" spans="1:5" ht="15.75" customHeight="1">
      <c r="A365" s="435" t="s">
        <v>887</v>
      </c>
      <c r="B365" s="436"/>
      <c r="C365" s="436"/>
      <c r="D365" s="436"/>
      <c r="E365" s="436"/>
    </row>
    <row r="366" spans="2:5" s="394" customFormat="1" ht="14.25">
      <c r="B366" s="389" t="s">
        <v>809</v>
      </c>
      <c r="C366" s="392">
        <v>623399</v>
      </c>
      <c r="D366" s="392">
        <v>0</v>
      </c>
      <c r="E366" s="392">
        <v>623399</v>
      </c>
    </row>
    <row r="367" spans="2:5" ht="15">
      <c r="B367" s="382" t="s">
        <v>811</v>
      </c>
      <c r="C367" s="391">
        <v>554239</v>
      </c>
      <c r="D367" s="391">
        <v>0</v>
      </c>
      <c r="E367" s="391">
        <v>554239</v>
      </c>
    </row>
    <row r="368" spans="2:5" ht="15">
      <c r="B368" s="382" t="s">
        <v>813</v>
      </c>
      <c r="C368" s="391">
        <v>69160</v>
      </c>
      <c r="D368" s="391">
        <v>0</v>
      </c>
      <c r="E368" s="391">
        <v>69160</v>
      </c>
    </row>
    <row r="370" spans="1:5" ht="15.75" customHeight="1">
      <c r="A370" s="435" t="s">
        <v>888</v>
      </c>
      <c r="B370" s="436"/>
      <c r="C370" s="436"/>
      <c r="D370" s="436"/>
      <c r="E370" s="436"/>
    </row>
    <row r="371" spans="2:5" s="394" customFormat="1" ht="14.25">
      <c r="B371" s="389" t="s">
        <v>809</v>
      </c>
      <c r="C371" s="392">
        <v>647494</v>
      </c>
      <c r="D371" s="392">
        <v>-4800</v>
      </c>
      <c r="E371" s="392">
        <v>642694</v>
      </c>
    </row>
    <row r="372" spans="2:5" ht="15">
      <c r="B372" s="382" t="s">
        <v>811</v>
      </c>
      <c r="C372" s="391">
        <v>555228</v>
      </c>
      <c r="D372" s="391">
        <v>-5463</v>
      </c>
      <c r="E372" s="391">
        <v>549765</v>
      </c>
    </row>
    <row r="373" spans="2:5" ht="15">
      <c r="B373" s="382" t="s">
        <v>813</v>
      </c>
      <c r="C373" s="391">
        <v>92266</v>
      </c>
      <c r="D373" s="391">
        <v>663</v>
      </c>
      <c r="E373" s="391">
        <v>92929</v>
      </c>
    </row>
    <row r="375" spans="1:5" ht="15.75" customHeight="1">
      <c r="A375" s="435" t="s">
        <v>889</v>
      </c>
      <c r="B375" s="436"/>
      <c r="C375" s="436"/>
      <c r="D375" s="436"/>
      <c r="E375" s="436"/>
    </row>
    <row r="376" spans="2:5" s="394" customFormat="1" ht="14.25">
      <c r="B376" s="389" t="s">
        <v>809</v>
      </c>
      <c r="C376" s="392">
        <v>980450</v>
      </c>
      <c r="D376" s="392">
        <v>0</v>
      </c>
      <c r="E376" s="392">
        <v>980450</v>
      </c>
    </row>
    <row r="377" spans="2:5" ht="15">
      <c r="B377" s="382" t="s">
        <v>810</v>
      </c>
      <c r="C377" s="391">
        <v>846576</v>
      </c>
      <c r="D377" s="391">
        <v>0</v>
      </c>
      <c r="E377" s="391">
        <v>846576</v>
      </c>
    </row>
    <row r="378" spans="2:5" ht="15">
      <c r="B378" s="382" t="s">
        <v>811</v>
      </c>
      <c r="C378" s="391">
        <v>111931</v>
      </c>
      <c r="D378" s="391">
        <v>2373</v>
      </c>
      <c r="E378" s="391">
        <v>114304</v>
      </c>
    </row>
    <row r="379" spans="2:5" ht="15">
      <c r="B379" s="382" t="s">
        <v>813</v>
      </c>
      <c r="C379" s="391">
        <v>21943</v>
      </c>
      <c r="D379" s="391">
        <v>-2373</v>
      </c>
      <c r="E379" s="391">
        <v>19570</v>
      </c>
    </row>
    <row r="381" spans="1:5" ht="15.75" customHeight="1">
      <c r="A381" s="435" t="s">
        <v>890</v>
      </c>
      <c r="B381" s="436"/>
      <c r="C381" s="436"/>
      <c r="D381" s="436"/>
      <c r="E381" s="436"/>
    </row>
    <row r="382" spans="2:5" s="394" customFormat="1" ht="14.25">
      <c r="B382" s="389" t="s">
        <v>809</v>
      </c>
      <c r="C382" s="392">
        <v>1505406</v>
      </c>
      <c r="D382" s="392">
        <v>4800</v>
      </c>
      <c r="E382" s="392">
        <v>1510206</v>
      </c>
    </row>
    <row r="383" spans="2:5" ht="15">
      <c r="B383" s="382" t="s">
        <v>811</v>
      </c>
      <c r="C383" s="391">
        <v>1190488</v>
      </c>
      <c r="D383" s="391">
        <v>19818</v>
      </c>
      <c r="E383" s="391">
        <v>1210306</v>
      </c>
    </row>
    <row r="384" spans="2:5" ht="15">
      <c r="B384" s="382" t="s">
        <v>812</v>
      </c>
      <c r="C384" s="391">
        <v>118778</v>
      </c>
      <c r="D384" s="391">
        <v>-15038</v>
      </c>
      <c r="E384" s="391">
        <v>103740</v>
      </c>
    </row>
    <row r="385" spans="2:5" ht="15">
      <c r="B385" s="382" t="s">
        <v>813</v>
      </c>
      <c r="C385" s="391">
        <v>195540</v>
      </c>
      <c r="D385" s="391">
        <v>20</v>
      </c>
      <c r="E385" s="391">
        <v>195560</v>
      </c>
    </row>
    <row r="386" spans="2:5" ht="15">
      <c r="B386" s="382" t="s">
        <v>814</v>
      </c>
      <c r="C386" s="391">
        <v>600</v>
      </c>
      <c r="D386" s="391">
        <v>0</v>
      </c>
      <c r="E386" s="391">
        <v>600</v>
      </c>
    </row>
    <row r="388" spans="1:5" ht="15.75" customHeight="1">
      <c r="A388" s="435" t="s">
        <v>891</v>
      </c>
      <c r="B388" s="436"/>
      <c r="C388" s="436"/>
      <c r="D388" s="436"/>
      <c r="E388" s="436"/>
    </row>
    <row r="389" spans="2:5" s="394" customFormat="1" ht="14.25">
      <c r="B389" s="389" t="s">
        <v>809</v>
      </c>
      <c r="C389" s="392">
        <v>74784</v>
      </c>
      <c r="D389" s="392">
        <v>0</v>
      </c>
      <c r="E389" s="392">
        <v>74784</v>
      </c>
    </row>
    <row r="390" spans="2:5" ht="15">
      <c r="B390" s="382" t="s">
        <v>810</v>
      </c>
      <c r="C390" s="391">
        <v>1800</v>
      </c>
      <c r="D390" s="391">
        <v>0</v>
      </c>
      <c r="E390" s="391">
        <v>1800</v>
      </c>
    </row>
    <row r="391" spans="2:5" ht="15">
      <c r="B391" s="382" t="s">
        <v>811</v>
      </c>
      <c r="C391" s="391">
        <v>27984</v>
      </c>
      <c r="D391" s="391">
        <v>0</v>
      </c>
      <c r="E391" s="391">
        <v>27984</v>
      </c>
    </row>
    <row r="392" spans="2:5" ht="15">
      <c r="B392" s="382" t="s">
        <v>814</v>
      </c>
      <c r="C392" s="391">
        <v>45000</v>
      </c>
      <c r="D392" s="391">
        <v>0</v>
      </c>
      <c r="E392" s="391">
        <v>45000</v>
      </c>
    </row>
    <row r="393" ht="28.5" customHeight="1"/>
    <row r="394" spans="1:5" ht="15.75" customHeight="1">
      <c r="A394" s="437" t="s">
        <v>892</v>
      </c>
      <c r="B394" s="436"/>
      <c r="C394" s="436"/>
      <c r="D394" s="436"/>
      <c r="E394" s="436"/>
    </row>
    <row r="395" spans="1:5" ht="14.25">
      <c r="A395" s="395"/>
      <c r="B395" s="396" t="s">
        <v>809</v>
      </c>
      <c r="C395" s="397">
        <v>3935760</v>
      </c>
      <c r="D395" s="397">
        <v>26000</v>
      </c>
      <c r="E395" s="397">
        <v>3961760</v>
      </c>
    </row>
    <row r="396" spans="1:5" ht="14.25">
      <c r="A396" s="395"/>
      <c r="B396" s="396" t="s">
        <v>810</v>
      </c>
      <c r="C396" s="397">
        <v>1674026</v>
      </c>
      <c r="D396" s="397">
        <v>0</v>
      </c>
      <c r="E396" s="397">
        <v>1674026</v>
      </c>
    </row>
    <row r="397" spans="1:5" ht="14.25">
      <c r="A397" s="395"/>
      <c r="B397" s="396" t="s">
        <v>811</v>
      </c>
      <c r="C397" s="397">
        <v>1691249</v>
      </c>
      <c r="D397" s="397">
        <v>37454</v>
      </c>
      <c r="E397" s="397">
        <v>1728703</v>
      </c>
    </row>
    <row r="398" spans="1:5" ht="14.25">
      <c r="A398" s="395"/>
      <c r="B398" s="396" t="s">
        <v>812</v>
      </c>
      <c r="C398" s="397">
        <v>550405</v>
      </c>
      <c r="D398" s="397">
        <v>-16612</v>
      </c>
      <c r="E398" s="397">
        <v>533793</v>
      </c>
    </row>
    <row r="399" spans="1:5" ht="14.25">
      <c r="A399" s="395"/>
      <c r="B399" s="396" t="s">
        <v>813</v>
      </c>
      <c r="C399" s="397">
        <v>10609</v>
      </c>
      <c r="D399" s="397">
        <v>0</v>
      </c>
      <c r="E399" s="397">
        <v>10609</v>
      </c>
    </row>
    <row r="400" spans="1:5" ht="14.25">
      <c r="A400" s="395"/>
      <c r="B400" s="396" t="s">
        <v>814</v>
      </c>
      <c r="C400" s="397">
        <v>0</v>
      </c>
      <c r="D400" s="397">
        <v>5158</v>
      </c>
      <c r="E400" s="397">
        <v>5158</v>
      </c>
    </row>
    <row r="401" spans="1:5" ht="28.5">
      <c r="A401" s="395"/>
      <c r="B401" s="396" t="s">
        <v>815</v>
      </c>
      <c r="C401" s="397">
        <v>9471</v>
      </c>
      <c r="D401" s="397">
        <v>0</v>
      </c>
      <c r="E401" s="397">
        <v>9471</v>
      </c>
    </row>
    <row r="403" spans="1:5" ht="15.75" customHeight="1">
      <c r="A403" s="435" t="s">
        <v>893</v>
      </c>
      <c r="B403" s="436"/>
      <c r="C403" s="436"/>
      <c r="D403" s="436"/>
      <c r="E403" s="436"/>
    </row>
    <row r="404" spans="2:5" s="394" customFormat="1" ht="14.25">
      <c r="B404" s="389" t="s">
        <v>809</v>
      </c>
      <c r="C404" s="392">
        <v>564939</v>
      </c>
      <c r="D404" s="392">
        <v>0</v>
      </c>
      <c r="E404" s="392">
        <v>564939</v>
      </c>
    </row>
    <row r="405" spans="2:5" ht="15">
      <c r="B405" s="382" t="s">
        <v>810</v>
      </c>
      <c r="C405" s="391">
        <v>331904</v>
      </c>
      <c r="D405" s="391">
        <v>0</v>
      </c>
      <c r="E405" s="391">
        <v>331904</v>
      </c>
    </row>
    <row r="406" spans="2:5" ht="15">
      <c r="B406" s="382" t="s">
        <v>811</v>
      </c>
      <c r="C406" s="391">
        <v>226335</v>
      </c>
      <c r="D406" s="391">
        <v>0</v>
      </c>
      <c r="E406" s="391">
        <v>226335</v>
      </c>
    </row>
    <row r="407" spans="2:5" ht="15">
      <c r="B407" s="382" t="s">
        <v>813</v>
      </c>
      <c r="C407" s="391">
        <v>6700</v>
      </c>
      <c r="D407" s="391">
        <v>0</v>
      </c>
      <c r="E407" s="391">
        <v>6700</v>
      </c>
    </row>
    <row r="409" spans="1:5" ht="15.75" customHeight="1">
      <c r="A409" s="435" t="s">
        <v>894</v>
      </c>
      <c r="B409" s="436"/>
      <c r="C409" s="436"/>
      <c r="D409" s="436"/>
      <c r="E409" s="436"/>
    </row>
    <row r="410" spans="2:5" s="394" customFormat="1" ht="14.25">
      <c r="B410" s="389" t="s">
        <v>809</v>
      </c>
      <c r="C410" s="392">
        <v>652800</v>
      </c>
      <c r="D410" s="392">
        <v>0</v>
      </c>
      <c r="E410" s="392">
        <v>652800</v>
      </c>
    </row>
    <row r="411" spans="2:5" ht="15">
      <c r="B411" s="382" t="s">
        <v>811</v>
      </c>
      <c r="C411" s="391">
        <v>102395</v>
      </c>
      <c r="D411" s="391">
        <v>11454</v>
      </c>
      <c r="E411" s="391">
        <v>113849</v>
      </c>
    </row>
    <row r="412" spans="2:5" ht="15">
      <c r="B412" s="382" t="s">
        <v>812</v>
      </c>
      <c r="C412" s="391">
        <v>550405</v>
      </c>
      <c r="D412" s="391">
        <v>-16612</v>
      </c>
      <c r="E412" s="391">
        <v>533793</v>
      </c>
    </row>
    <row r="413" spans="2:5" ht="15">
      <c r="B413" s="382" t="s">
        <v>814</v>
      </c>
      <c r="C413" s="391">
        <v>0</v>
      </c>
      <c r="D413" s="391">
        <v>5158</v>
      </c>
      <c r="E413" s="391">
        <v>5158</v>
      </c>
    </row>
    <row r="415" spans="1:5" ht="15.75" customHeight="1">
      <c r="A415" s="435" t="s">
        <v>895</v>
      </c>
      <c r="B415" s="436"/>
      <c r="C415" s="436"/>
      <c r="D415" s="436"/>
      <c r="E415" s="436"/>
    </row>
    <row r="416" spans="2:5" s="394" customFormat="1" ht="14.25">
      <c r="B416" s="389" t="s">
        <v>809</v>
      </c>
      <c r="C416" s="392">
        <v>2718021</v>
      </c>
      <c r="D416" s="392">
        <v>26000</v>
      </c>
      <c r="E416" s="392">
        <v>2744021</v>
      </c>
    </row>
    <row r="417" spans="2:5" ht="15">
      <c r="B417" s="382" t="s">
        <v>810</v>
      </c>
      <c r="C417" s="391">
        <v>1342122</v>
      </c>
      <c r="D417" s="391">
        <v>0</v>
      </c>
      <c r="E417" s="391">
        <v>1342122</v>
      </c>
    </row>
    <row r="418" spans="2:5" ht="15">
      <c r="B418" s="382" t="s">
        <v>811</v>
      </c>
      <c r="C418" s="391">
        <v>1362519</v>
      </c>
      <c r="D418" s="391">
        <v>26000</v>
      </c>
      <c r="E418" s="391">
        <v>1388519</v>
      </c>
    </row>
    <row r="419" spans="2:5" ht="15">
      <c r="B419" s="382" t="s">
        <v>813</v>
      </c>
      <c r="C419" s="391">
        <v>3909</v>
      </c>
      <c r="D419" s="391">
        <v>0</v>
      </c>
      <c r="E419" s="391">
        <v>3909</v>
      </c>
    </row>
    <row r="420" spans="2:5" ht="30">
      <c r="B420" s="382" t="s">
        <v>815</v>
      </c>
      <c r="C420" s="391">
        <v>9471</v>
      </c>
      <c r="D420" s="391">
        <v>0</v>
      </c>
      <c r="E420" s="391">
        <v>9471</v>
      </c>
    </row>
    <row r="422" spans="1:5" ht="15.75" customHeight="1" hidden="1">
      <c r="A422" s="435" t="s">
        <v>896</v>
      </c>
      <c r="B422" s="436"/>
      <c r="C422" s="436"/>
      <c r="D422" s="436"/>
      <c r="E422" s="436"/>
    </row>
    <row r="423" spans="2:5" ht="15" hidden="1">
      <c r="B423" s="382" t="s">
        <v>809</v>
      </c>
      <c r="C423" s="391">
        <v>1120470</v>
      </c>
      <c r="D423" s="391">
        <v>0</v>
      </c>
      <c r="E423" s="391">
        <v>1120470</v>
      </c>
    </row>
    <row r="424" spans="2:5" ht="15" hidden="1">
      <c r="B424" s="382" t="s">
        <v>810</v>
      </c>
      <c r="C424" s="391">
        <v>723630</v>
      </c>
      <c r="D424" s="391">
        <v>0</v>
      </c>
      <c r="E424" s="391">
        <v>723630</v>
      </c>
    </row>
    <row r="425" spans="2:5" ht="15" hidden="1">
      <c r="B425" s="382" t="s">
        <v>811</v>
      </c>
      <c r="C425" s="391">
        <v>392134</v>
      </c>
      <c r="D425" s="391">
        <v>0</v>
      </c>
      <c r="E425" s="391">
        <v>392134</v>
      </c>
    </row>
    <row r="426" spans="2:5" ht="15" hidden="1">
      <c r="B426" s="382" t="s">
        <v>813</v>
      </c>
      <c r="C426" s="391">
        <v>1932</v>
      </c>
      <c r="D426" s="391">
        <v>0</v>
      </c>
      <c r="E426" s="391">
        <v>1932</v>
      </c>
    </row>
    <row r="427" spans="2:5" ht="30" hidden="1">
      <c r="B427" s="382" t="s">
        <v>815</v>
      </c>
      <c r="C427" s="391">
        <v>2774</v>
      </c>
      <c r="D427" s="391">
        <v>0</v>
      </c>
      <c r="E427" s="391">
        <v>2774</v>
      </c>
    </row>
    <row r="428" ht="12.75" hidden="1"/>
    <row r="429" spans="1:5" ht="15.75" customHeight="1" hidden="1">
      <c r="A429" s="435" t="s">
        <v>897</v>
      </c>
      <c r="B429" s="436"/>
      <c r="C429" s="436"/>
      <c r="D429" s="436"/>
      <c r="E429" s="436"/>
    </row>
    <row r="430" spans="2:5" ht="15" hidden="1">
      <c r="B430" s="382" t="s">
        <v>809</v>
      </c>
      <c r="C430" s="391">
        <v>565668</v>
      </c>
      <c r="D430" s="391">
        <v>0</v>
      </c>
      <c r="E430" s="391">
        <v>565668</v>
      </c>
    </row>
    <row r="431" spans="2:5" ht="15" hidden="1">
      <c r="B431" s="382" t="s">
        <v>810</v>
      </c>
      <c r="C431" s="391">
        <v>213184</v>
      </c>
      <c r="D431" s="391">
        <v>0</v>
      </c>
      <c r="E431" s="391">
        <v>213184</v>
      </c>
    </row>
    <row r="432" spans="2:5" ht="15" hidden="1">
      <c r="B432" s="382" t="s">
        <v>811</v>
      </c>
      <c r="C432" s="391">
        <v>349758</v>
      </c>
      <c r="D432" s="391">
        <v>0</v>
      </c>
      <c r="E432" s="391">
        <v>349758</v>
      </c>
    </row>
    <row r="433" spans="2:5" ht="15" hidden="1">
      <c r="B433" s="382" t="s">
        <v>813</v>
      </c>
      <c r="C433" s="391">
        <v>600</v>
      </c>
      <c r="D433" s="391">
        <v>0</v>
      </c>
      <c r="E433" s="391">
        <v>600</v>
      </c>
    </row>
    <row r="434" spans="2:5" ht="30" hidden="1">
      <c r="B434" s="382" t="s">
        <v>815</v>
      </c>
      <c r="C434" s="391">
        <v>2126</v>
      </c>
      <c r="D434" s="391">
        <v>0</v>
      </c>
      <c r="E434" s="391">
        <v>2126</v>
      </c>
    </row>
    <row r="435" ht="12.75" hidden="1"/>
    <row r="436" spans="1:5" ht="15.75" customHeight="1" hidden="1">
      <c r="A436" s="435" t="s">
        <v>898</v>
      </c>
      <c r="B436" s="436"/>
      <c r="C436" s="436"/>
      <c r="D436" s="436"/>
      <c r="E436" s="436"/>
    </row>
    <row r="437" spans="2:5" ht="15" hidden="1">
      <c r="B437" s="382" t="s">
        <v>809</v>
      </c>
      <c r="C437" s="391">
        <v>1031883</v>
      </c>
      <c r="D437" s="391">
        <v>26000</v>
      </c>
      <c r="E437" s="391">
        <v>1057883</v>
      </c>
    </row>
    <row r="438" spans="2:5" ht="15" hidden="1">
      <c r="B438" s="382" t="s">
        <v>810</v>
      </c>
      <c r="C438" s="391">
        <v>405308</v>
      </c>
      <c r="D438" s="391">
        <v>0</v>
      </c>
      <c r="E438" s="391">
        <v>405308</v>
      </c>
    </row>
    <row r="439" spans="2:5" ht="15" hidden="1">
      <c r="B439" s="382" t="s">
        <v>811</v>
      </c>
      <c r="C439" s="391">
        <v>620627</v>
      </c>
      <c r="D439" s="391">
        <v>26000</v>
      </c>
      <c r="E439" s="391">
        <v>646627</v>
      </c>
    </row>
    <row r="440" spans="2:5" ht="15" hidden="1">
      <c r="B440" s="382" t="s">
        <v>813</v>
      </c>
      <c r="C440" s="391">
        <v>1377</v>
      </c>
      <c r="D440" s="391">
        <v>0</v>
      </c>
      <c r="E440" s="391">
        <v>1377</v>
      </c>
    </row>
    <row r="441" spans="2:5" ht="30" hidden="1">
      <c r="B441" s="382" t="s">
        <v>815</v>
      </c>
      <c r="C441" s="391">
        <v>4571</v>
      </c>
      <c r="D441" s="391">
        <v>0</v>
      </c>
      <c r="E441" s="391">
        <v>4571</v>
      </c>
    </row>
    <row r="443" spans="1:5" ht="15.75" customHeight="1">
      <c r="A443" s="437" t="s">
        <v>899</v>
      </c>
      <c r="B443" s="436"/>
      <c r="C443" s="436"/>
      <c r="D443" s="436"/>
      <c r="E443" s="436"/>
    </row>
    <row r="444" spans="1:5" ht="14.25">
      <c r="A444" s="395"/>
      <c r="B444" s="396" t="s">
        <v>809</v>
      </c>
      <c r="C444" s="397">
        <v>1055545</v>
      </c>
      <c r="D444" s="397">
        <v>0</v>
      </c>
      <c r="E444" s="397">
        <v>1055545</v>
      </c>
    </row>
    <row r="445" spans="1:5" ht="14.25">
      <c r="A445" s="395"/>
      <c r="B445" s="396" t="s">
        <v>810</v>
      </c>
      <c r="C445" s="397">
        <v>602303</v>
      </c>
      <c r="D445" s="397">
        <v>0</v>
      </c>
      <c r="E445" s="397">
        <v>602303</v>
      </c>
    </row>
    <row r="446" spans="1:5" ht="14.25">
      <c r="A446" s="395"/>
      <c r="B446" s="396" t="s">
        <v>811</v>
      </c>
      <c r="C446" s="397">
        <v>156328</v>
      </c>
      <c r="D446" s="397">
        <v>0</v>
      </c>
      <c r="E446" s="397">
        <v>156328</v>
      </c>
    </row>
    <row r="447" spans="1:5" ht="14.25">
      <c r="A447" s="395"/>
      <c r="B447" s="396" t="s">
        <v>813</v>
      </c>
      <c r="C447" s="397">
        <v>296914</v>
      </c>
      <c r="D447" s="397">
        <v>0</v>
      </c>
      <c r="E447" s="397">
        <v>296914</v>
      </c>
    </row>
    <row r="449" spans="1:5" ht="15.75" customHeight="1">
      <c r="A449" s="435" t="s">
        <v>900</v>
      </c>
      <c r="B449" s="436"/>
      <c r="C449" s="436"/>
      <c r="D449" s="436"/>
      <c r="E449" s="436"/>
    </row>
    <row r="450" spans="2:5" s="394" customFormat="1" ht="14.25">
      <c r="B450" s="389" t="s">
        <v>809</v>
      </c>
      <c r="C450" s="392">
        <v>1030909</v>
      </c>
      <c r="D450" s="392">
        <v>0</v>
      </c>
      <c r="E450" s="392">
        <v>1030909</v>
      </c>
    </row>
    <row r="451" spans="2:5" ht="15">
      <c r="B451" s="382" t="s">
        <v>810</v>
      </c>
      <c r="C451" s="391">
        <v>597702</v>
      </c>
      <c r="D451" s="391">
        <v>0</v>
      </c>
      <c r="E451" s="391">
        <v>597702</v>
      </c>
    </row>
    <row r="452" spans="2:5" ht="15">
      <c r="B452" s="382" t="s">
        <v>811</v>
      </c>
      <c r="C452" s="391">
        <v>136293</v>
      </c>
      <c r="D452" s="391">
        <v>0</v>
      </c>
      <c r="E452" s="391">
        <v>136293</v>
      </c>
    </row>
    <row r="453" spans="2:5" ht="15">
      <c r="B453" s="382" t="s">
        <v>813</v>
      </c>
      <c r="C453" s="391">
        <v>296914</v>
      </c>
      <c r="D453" s="391">
        <v>0</v>
      </c>
      <c r="E453" s="391">
        <v>296914</v>
      </c>
    </row>
    <row r="455" spans="1:5" ht="31.5" customHeight="1">
      <c r="A455" s="435" t="s">
        <v>901</v>
      </c>
      <c r="B455" s="436"/>
      <c r="C455" s="436"/>
      <c r="D455" s="436"/>
      <c r="E455" s="436"/>
    </row>
    <row r="456" spans="2:5" s="394" customFormat="1" ht="14.25">
      <c r="B456" s="389" t="s">
        <v>809</v>
      </c>
      <c r="C456" s="392">
        <v>24636</v>
      </c>
      <c r="D456" s="392">
        <v>0</v>
      </c>
      <c r="E456" s="392">
        <v>24636</v>
      </c>
    </row>
    <row r="457" spans="2:5" ht="15">
      <c r="B457" s="382" t="s">
        <v>810</v>
      </c>
      <c r="C457" s="391">
        <v>4601</v>
      </c>
      <c r="D457" s="391">
        <v>0</v>
      </c>
      <c r="E457" s="391">
        <v>4601</v>
      </c>
    </row>
    <row r="458" spans="2:5" ht="15">
      <c r="B458" s="382" t="s">
        <v>811</v>
      </c>
      <c r="C458" s="391">
        <v>20035</v>
      </c>
      <c r="D458" s="391">
        <v>0</v>
      </c>
      <c r="E458" s="391">
        <v>20035</v>
      </c>
    </row>
    <row r="459" ht="29.25" customHeight="1"/>
    <row r="460" spans="1:5" ht="31.5" customHeight="1">
      <c r="A460" s="437" t="s">
        <v>902</v>
      </c>
      <c r="B460" s="436"/>
      <c r="C460" s="436"/>
      <c r="D460" s="436"/>
      <c r="E460" s="436"/>
    </row>
    <row r="461" spans="1:5" ht="14.25">
      <c r="A461" s="395"/>
      <c r="B461" s="396" t="s">
        <v>809</v>
      </c>
      <c r="C461" s="397">
        <v>561629</v>
      </c>
      <c r="D461" s="397">
        <v>0</v>
      </c>
      <c r="E461" s="397">
        <v>561629</v>
      </c>
    </row>
    <row r="462" spans="1:5" ht="14.25">
      <c r="A462" s="395"/>
      <c r="B462" s="396" t="s">
        <v>810</v>
      </c>
      <c r="C462" s="397">
        <v>442303</v>
      </c>
      <c r="D462" s="397">
        <v>0</v>
      </c>
      <c r="E462" s="397">
        <v>442303</v>
      </c>
    </row>
    <row r="463" spans="1:5" ht="14.25">
      <c r="A463" s="395"/>
      <c r="B463" s="396" t="s">
        <v>811</v>
      </c>
      <c r="C463" s="397">
        <v>90226</v>
      </c>
      <c r="D463" s="397">
        <v>0</v>
      </c>
      <c r="E463" s="397">
        <v>90226</v>
      </c>
    </row>
    <row r="464" spans="1:5" ht="14.25">
      <c r="A464" s="395"/>
      <c r="B464" s="396" t="s">
        <v>813</v>
      </c>
      <c r="C464" s="397">
        <v>29100</v>
      </c>
      <c r="D464" s="397">
        <v>0</v>
      </c>
      <c r="E464" s="397">
        <v>29100</v>
      </c>
    </row>
    <row r="466" spans="1:5" ht="15.75" customHeight="1">
      <c r="A466" s="435" t="s">
        <v>903</v>
      </c>
      <c r="B466" s="436"/>
      <c r="C466" s="436"/>
      <c r="D466" s="436"/>
      <c r="E466" s="436"/>
    </row>
    <row r="467" spans="2:5" s="394" customFormat="1" ht="14.25">
      <c r="B467" s="389" t="s">
        <v>809</v>
      </c>
      <c r="C467" s="392">
        <v>561629</v>
      </c>
      <c r="D467" s="392">
        <v>0</v>
      </c>
      <c r="E467" s="392">
        <v>561629</v>
      </c>
    </row>
    <row r="468" spans="2:5" ht="15">
      <c r="B468" s="382" t="s">
        <v>810</v>
      </c>
      <c r="C468" s="391">
        <v>442303</v>
      </c>
      <c r="D468" s="391">
        <v>0</v>
      </c>
      <c r="E468" s="391">
        <v>442303</v>
      </c>
    </row>
    <row r="469" spans="2:5" ht="15">
      <c r="B469" s="382" t="s">
        <v>811</v>
      </c>
      <c r="C469" s="391">
        <v>90226</v>
      </c>
      <c r="D469" s="391">
        <v>0</v>
      </c>
      <c r="E469" s="391">
        <v>90226</v>
      </c>
    </row>
    <row r="470" spans="2:5" ht="15">
      <c r="B470" s="382" t="s">
        <v>813</v>
      </c>
      <c r="C470" s="391">
        <v>29100</v>
      </c>
      <c r="D470" s="391">
        <v>0</v>
      </c>
      <c r="E470" s="391">
        <v>29100</v>
      </c>
    </row>
    <row r="471" ht="29.25" customHeight="1"/>
    <row r="472" spans="1:5" ht="15.75" customHeight="1">
      <c r="A472" s="437" t="s">
        <v>904</v>
      </c>
      <c r="B472" s="436"/>
      <c r="C472" s="436"/>
      <c r="D472" s="436"/>
      <c r="E472" s="436"/>
    </row>
    <row r="473" spans="1:5" ht="14.25">
      <c r="A473" s="395"/>
      <c r="B473" s="396" t="s">
        <v>809</v>
      </c>
      <c r="C473" s="397">
        <v>2769966</v>
      </c>
      <c r="D473" s="397">
        <v>1000</v>
      </c>
      <c r="E473" s="397">
        <v>2770966</v>
      </c>
    </row>
    <row r="474" spans="1:5" ht="14.25">
      <c r="A474" s="395"/>
      <c r="B474" s="396" t="s">
        <v>810</v>
      </c>
      <c r="C474" s="397">
        <v>1705155</v>
      </c>
      <c r="D474" s="397">
        <v>-7457</v>
      </c>
      <c r="E474" s="397">
        <v>1697698</v>
      </c>
    </row>
    <row r="475" spans="1:5" ht="14.25">
      <c r="A475" s="395"/>
      <c r="B475" s="396" t="s">
        <v>811</v>
      </c>
      <c r="C475" s="397">
        <v>954477</v>
      </c>
      <c r="D475" s="397">
        <v>-5698</v>
      </c>
      <c r="E475" s="397">
        <v>948779</v>
      </c>
    </row>
    <row r="476" spans="1:5" ht="14.25">
      <c r="A476" s="395"/>
      <c r="B476" s="396" t="s">
        <v>812</v>
      </c>
      <c r="C476" s="397">
        <v>11700</v>
      </c>
      <c r="D476" s="397">
        <v>1865</v>
      </c>
      <c r="E476" s="397">
        <v>13565</v>
      </c>
    </row>
    <row r="477" spans="1:5" ht="14.25">
      <c r="A477" s="395"/>
      <c r="B477" s="396" t="s">
        <v>813</v>
      </c>
      <c r="C477" s="397">
        <v>77695</v>
      </c>
      <c r="D477" s="397">
        <v>11290</v>
      </c>
      <c r="E477" s="397">
        <v>88985</v>
      </c>
    </row>
    <row r="478" spans="1:5" ht="14.25">
      <c r="A478" s="395"/>
      <c r="B478" s="396" t="s">
        <v>814</v>
      </c>
      <c r="C478" s="397">
        <v>6208</v>
      </c>
      <c r="D478" s="397">
        <v>0</v>
      </c>
      <c r="E478" s="397">
        <v>6208</v>
      </c>
    </row>
    <row r="479" spans="1:5" ht="28.5">
      <c r="A479" s="395"/>
      <c r="B479" s="396" t="s">
        <v>815</v>
      </c>
      <c r="C479" s="397">
        <v>14731</v>
      </c>
      <c r="D479" s="397">
        <v>1000</v>
      </c>
      <c r="E479" s="397">
        <v>15731</v>
      </c>
    </row>
    <row r="481" spans="1:5" ht="15.75" customHeight="1">
      <c r="A481" s="435" t="s">
        <v>905</v>
      </c>
      <c r="B481" s="436"/>
      <c r="C481" s="436"/>
      <c r="D481" s="436"/>
      <c r="E481" s="436"/>
    </row>
    <row r="482" spans="2:5" s="394" customFormat="1" ht="14.25">
      <c r="B482" s="389" t="s">
        <v>809</v>
      </c>
      <c r="C482" s="392">
        <v>1507283</v>
      </c>
      <c r="D482" s="392">
        <v>0</v>
      </c>
      <c r="E482" s="392">
        <v>1507283</v>
      </c>
    </row>
    <row r="483" spans="2:5" ht="15">
      <c r="B483" s="382" t="s">
        <v>810</v>
      </c>
      <c r="C483" s="391">
        <v>978611</v>
      </c>
      <c r="D483" s="391">
        <v>0</v>
      </c>
      <c r="E483" s="391">
        <v>978611</v>
      </c>
    </row>
    <row r="484" spans="2:5" ht="15">
      <c r="B484" s="382" t="s">
        <v>811</v>
      </c>
      <c r="C484" s="391">
        <v>467555</v>
      </c>
      <c r="D484" s="391">
        <v>-11290</v>
      </c>
      <c r="E484" s="391">
        <v>456265</v>
      </c>
    </row>
    <row r="485" spans="2:5" ht="15">
      <c r="B485" s="382" t="s">
        <v>813</v>
      </c>
      <c r="C485" s="391">
        <v>59100</v>
      </c>
      <c r="D485" s="391">
        <v>11290</v>
      </c>
      <c r="E485" s="391">
        <v>70390</v>
      </c>
    </row>
    <row r="486" spans="2:5" ht="30">
      <c r="B486" s="382" t="s">
        <v>815</v>
      </c>
      <c r="C486" s="391">
        <v>2017</v>
      </c>
      <c r="D486" s="391">
        <v>0</v>
      </c>
      <c r="E486" s="391">
        <v>2017</v>
      </c>
    </row>
    <row r="488" spans="1:5" ht="15.75" customHeight="1">
      <c r="A488" s="435" t="s">
        <v>906</v>
      </c>
      <c r="B488" s="436"/>
      <c r="C488" s="436"/>
      <c r="D488" s="436"/>
      <c r="E488" s="436"/>
    </row>
    <row r="489" spans="2:5" s="394" customFormat="1" ht="14.25">
      <c r="B489" s="389" t="s">
        <v>809</v>
      </c>
      <c r="C489" s="392">
        <v>562793</v>
      </c>
      <c r="D489" s="392">
        <v>1000</v>
      </c>
      <c r="E489" s="392">
        <v>563793</v>
      </c>
    </row>
    <row r="490" spans="2:5" ht="15">
      <c r="B490" s="382" t="s">
        <v>810</v>
      </c>
      <c r="C490" s="391">
        <v>116858</v>
      </c>
      <c r="D490" s="391">
        <v>1000</v>
      </c>
      <c r="E490" s="391">
        <v>117858</v>
      </c>
    </row>
    <row r="491" spans="2:5" ht="15">
      <c r="B491" s="382" t="s">
        <v>811</v>
      </c>
      <c r="C491" s="391">
        <v>427782</v>
      </c>
      <c r="D491" s="391">
        <v>0</v>
      </c>
      <c r="E491" s="391">
        <v>427782</v>
      </c>
    </row>
    <row r="492" spans="2:5" ht="15">
      <c r="B492" s="382" t="s">
        <v>813</v>
      </c>
      <c r="C492" s="391">
        <v>11945</v>
      </c>
      <c r="D492" s="391">
        <v>0</v>
      </c>
      <c r="E492" s="391">
        <v>11945</v>
      </c>
    </row>
    <row r="493" spans="2:5" ht="15">
      <c r="B493" s="382" t="s">
        <v>814</v>
      </c>
      <c r="C493" s="391">
        <v>6208</v>
      </c>
      <c r="D493" s="391">
        <v>0</v>
      </c>
      <c r="E493" s="391">
        <v>6208</v>
      </c>
    </row>
    <row r="495" spans="1:5" ht="15.75" customHeight="1">
      <c r="A495" s="435" t="s">
        <v>907</v>
      </c>
      <c r="B495" s="436"/>
      <c r="C495" s="436"/>
      <c r="D495" s="436"/>
      <c r="E495" s="436"/>
    </row>
    <row r="496" spans="2:5" s="394" customFormat="1" ht="14.25">
      <c r="B496" s="389" t="s">
        <v>809</v>
      </c>
      <c r="C496" s="392">
        <v>23000</v>
      </c>
      <c r="D496" s="392">
        <v>0</v>
      </c>
      <c r="E496" s="392">
        <v>23000</v>
      </c>
    </row>
    <row r="497" spans="2:5" ht="15">
      <c r="B497" s="382" t="s">
        <v>810</v>
      </c>
      <c r="C497" s="391">
        <v>23000</v>
      </c>
      <c r="D497" s="391">
        <v>0</v>
      </c>
      <c r="E497" s="391">
        <v>23000</v>
      </c>
    </row>
    <row r="499" spans="1:5" ht="15.75" customHeight="1">
      <c r="A499" s="435" t="s">
        <v>908</v>
      </c>
      <c r="B499" s="436"/>
      <c r="C499" s="436"/>
      <c r="D499" s="436"/>
      <c r="E499" s="436"/>
    </row>
    <row r="500" spans="2:5" s="394" customFormat="1" ht="14.25">
      <c r="B500" s="389" t="s">
        <v>809</v>
      </c>
      <c r="C500" s="392">
        <v>97143</v>
      </c>
      <c r="D500" s="392">
        <v>0</v>
      </c>
      <c r="E500" s="392">
        <v>97143</v>
      </c>
    </row>
    <row r="501" spans="2:5" ht="15">
      <c r="B501" s="382" t="s">
        <v>810</v>
      </c>
      <c r="C501" s="391">
        <v>92423</v>
      </c>
      <c r="D501" s="391">
        <v>0</v>
      </c>
      <c r="E501" s="391">
        <v>92423</v>
      </c>
    </row>
    <row r="502" spans="2:5" ht="15">
      <c r="B502" s="382" t="s">
        <v>811</v>
      </c>
      <c r="C502" s="391">
        <v>4720</v>
      </c>
      <c r="D502" s="391">
        <v>0</v>
      </c>
      <c r="E502" s="391">
        <v>4720</v>
      </c>
    </row>
    <row r="504" spans="1:5" ht="15.75" customHeight="1">
      <c r="A504" s="435" t="s">
        <v>909</v>
      </c>
      <c r="B504" s="436"/>
      <c r="C504" s="436"/>
      <c r="D504" s="436"/>
      <c r="E504" s="436"/>
    </row>
    <row r="505" spans="2:5" s="394" customFormat="1" ht="14.25">
      <c r="B505" s="389" t="s">
        <v>809</v>
      </c>
      <c r="C505" s="392">
        <v>23888</v>
      </c>
      <c r="D505" s="392">
        <v>0</v>
      </c>
      <c r="E505" s="392">
        <v>23888</v>
      </c>
    </row>
    <row r="506" spans="2:5" ht="15">
      <c r="B506" s="382" t="s">
        <v>810</v>
      </c>
      <c r="C506" s="391">
        <v>20888</v>
      </c>
      <c r="D506" s="391">
        <v>0</v>
      </c>
      <c r="E506" s="391">
        <v>20888</v>
      </c>
    </row>
    <row r="507" spans="2:5" ht="15">
      <c r="B507" s="382" t="s">
        <v>811</v>
      </c>
      <c r="C507" s="391">
        <v>2900</v>
      </c>
      <c r="D507" s="391">
        <v>0</v>
      </c>
      <c r="E507" s="391">
        <v>2900</v>
      </c>
    </row>
    <row r="508" spans="2:5" ht="15">
      <c r="B508" s="382" t="s">
        <v>813</v>
      </c>
      <c r="C508" s="391">
        <v>100</v>
      </c>
      <c r="D508" s="391">
        <v>0</v>
      </c>
      <c r="E508" s="391">
        <v>100</v>
      </c>
    </row>
    <row r="510" spans="1:5" ht="15.75" customHeight="1">
      <c r="A510" s="435" t="s">
        <v>910</v>
      </c>
      <c r="B510" s="436"/>
      <c r="C510" s="436"/>
      <c r="D510" s="436"/>
      <c r="E510" s="436"/>
    </row>
    <row r="511" spans="2:5" s="394" customFormat="1" ht="14.25">
      <c r="B511" s="389" t="s">
        <v>809</v>
      </c>
      <c r="C511" s="392">
        <v>514150</v>
      </c>
      <c r="D511" s="392">
        <v>0</v>
      </c>
      <c r="E511" s="392">
        <v>514150</v>
      </c>
    </row>
    <row r="512" spans="2:5" ht="15">
      <c r="B512" s="382" t="s">
        <v>810</v>
      </c>
      <c r="C512" s="391">
        <v>464726</v>
      </c>
      <c r="D512" s="391">
        <v>-8457</v>
      </c>
      <c r="E512" s="391">
        <v>456269</v>
      </c>
    </row>
    <row r="513" spans="2:5" ht="15">
      <c r="B513" s="382" t="s">
        <v>811</v>
      </c>
      <c r="C513" s="391">
        <v>36860</v>
      </c>
      <c r="D513" s="391">
        <v>8457</v>
      </c>
      <c r="E513" s="391">
        <v>45317</v>
      </c>
    </row>
    <row r="514" spans="2:5" ht="15">
      <c r="B514" s="382" t="s">
        <v>813</v>
      </c>
      <c r="C514" s="391">
        <v>3550</v>
      </c>
      <c r="D514" s="391">
        <v>0</v>
      </c>
      <c r="E514" s="391">
        <v>3550</v>
      </c>
    </row>
    <row r="515" spans="2:5" ht="30">
      <c r="B515" s="382" t="s">
        <v>815</v>
      </c>
      <c r="C515" s="391">
        <v>9014</v>
      </c>
      <c r="D515" s="391">
        <v>0</v>
      </c>
      <c r="E515" s="391">
        <v>9014</v>
      </c>
    </row>
    <row r="517" spans="1:5" ht="15.75" customHeight="1">
      <c r="A517" s="435" t="s">
        <v>911</v>
      </c>
      <c r="B517" s="436"/>
      <c r="C517" s="436"/>
      <c r="D517" s="436"/>
      <c r="E517" s="436"/>
    </row>
    <row r="518" spans="2:5" s="394" customFormat="1" ht="14.25">
      <c r="B518" s="389" t="s">
        <v>809</v>
      </c>
      <c r="C518" s="392">
        <v>41709</v>
      </c>
      <c r="D518" s="392">
        <v>0</v>
      </c>
      <c r="E518" s="392">
        <v>41709</v>
      </c>
    </row>
    <row r="519" spans="2:5" ht="15">
      <c r="B519" s="382" t="s">
        <v>810</v>
      </c>
      <c r="C519" s="391">
        <v>8649</v>
      </c>
      <c r="D519" s="391">
        <v>0</v>
      </c>
      <c r="E519" s="391">
        <v>8649</v>
      </c>
    </row>
    <row r="520" spans="2:5" ht="15">
      <c r="B520" s="382" t="s">
        <v>811</v>
      </c>
      <c r="C520" s="391">
        <v>14660</v>
      </c>
      <c r="D520" s="391">
        <v>-2865</v>
      </c>
      <c r="E520" s="391">
        <v>11795</v>
      </c>
    </row>
    <row r="521" spans="2:5" ht="15">
      <c r="B521" s="382" t="s">
        <v>812</v>
      </c>
      <c r="C521" s="391">
        <v>11700</v>
      </c>
      <c r="D521" s="391">
        <v>1865</v>
      </c>
      <c r="E521" s="391">
        <v>13565</v>
      </c>
    </row>
    <row r="522" spans="2:5" ht="15">
      <c r="B522" s="382" t="s">
        <v>813</v>
      </c>
      <c r="C522" s="391">
        <v>3000</v>
      </c>
      <c r="D522" s="391">
        <v>0</v>
      </c>
      <c r="E522" s="391">
        <v>3000</v>
      </c>
    </row>
    <row r="523" spans="2:5" ht="30">
      <c r="B523" s="382" t="s">
        <v>815</v>
      </c>
      <c r="C523" s="391">
        <v>3700</v>
      </c>
      <c r="D523" s="391">
        <v>1000</v>
      </c>
      <c r="E523" s="391">
        <v>4700</v>
      </c>
    </row>
    <row r="524" ht="32.25" customHeight="1"/>
    <row r="525" spans="1:5" ht="15.75" customHeight="1">
      <c r="A525" s="437" t="s">
        <v>912</v>
      </c>
      <c r="B525" s="436"/>
      <c r="C525" s="436"/>
      <c r="D525" s="436"/>
      <c r="E525" s="436"/>
    </row>
    <row r="526" spans="1:5" ht="14.25">
      <c r="A526" s="395"/>
      <c r="B526" s="396" t="s">
        <v>809</v>
      </c>
      <c r="C526" s="397">
        <v>325912</v>
      </c>
      <c r="D526" s="397">
        <v>0</v>
      </c>
      <c r="E526" s="397">
        <v>325912</v>
      </c>
    </row>
    <row r="527" spans="1:5" ht="14.25">
      <c r="A527" s="395"/>
      <c r="B527" s="396" t="s">
        <v>810</v>
      </c>
      <c r="C527" s="397">
        <v>225924</v>
      </c>
      <c r="D527" s="397">
        <v>0</v>
      </c>
      <c r="E527" s="397">
        <v>225924</v>
      </c>
    </row>
    <row r="528" spans="1:5" ht="14.25">
      <c r="A528" s="395"/>
      <c r="B528" s="396" t="s">
        <v>811</v>
      </c>
      <c r="C528" s="397">
        <v>97755</v>
      </c>
      <c r="D528" s="397">
        <v>0</v>
      </c>
      <c r="E528" s="397">
        <v>97755</v>
      </c>
    </row>
    <row r="529" spans="1:5" ht="14.25">
      <c r="A529" s="395"/>
      <c r="B529" s="396" t="s">
        <v>812</v>
      </c>
      <c r="C529" s="397">
        <v>0</v>
      </c>
      <c r="D529" s="397">
        <v>0</v>
      </c>
      <c r="E529" s="397">
        <v>0</v>
      </c>
    </row>
    <row r="530" spans="1:5" ht="14.25">
      <c r="A530" s="395"/>
      <c r="B530" s="396" t="s">
        <v>813</v>
      </c>
      <c r="C530" s="397">
        <v>2233</v>
      </c>
      <c r="D530" s="397">
        <v>0</v>
      </c>
      <c r="E530" s="397">
        <v>2233</v>
      </c>
    </row>
    <row r="532" spans="1:5" ht="15.75" customHeight="1">
      <c r="A532" s="435" t="s">
        <v>913</v>
      </c>
      <c r="B532" s="436"/>
      <c r="C532" s="436"/>
      <c r="D532" s="436"/>
      <c r="E532" s="436"/>
    </row>
    <row r="533" spans="2:5" s="394" customFormat="1" ht="14.25">
      <c r="B533" s="389" t="s">
        <v>809</v>
      </c>
      <c r="C533" s="392">
        <v>325912</v>
      </c>
      <c r="D533" s="392">
        <v>0</v>
      </c>
      <c r="E533" s="392">
        <v>325912</v>
      </c>
    </row>
    <row r="534" spans="2:5" ht="15">
      <c r="B534" s="382" t="s">
        <v>810</v>
      </c>
      <c r="C534" s="391">
        <v>225924</v>
      </c>
      <c r="D534" s="391">
        <v>0</v>
      </c>
      <c r="E534" s="391">
        <v>225924</v>
      </c>
    </row>
    <row r="535" spans="2:5" ht="15">
      <c r="B535" s="382" t="s">
        <v>811</v>
      </c>
      <c r="C535" s="391">
        <v>97755</v>
      </c>
      <c r="D535" s="391">
        <v>0</v>
      </c>
      <c r="E535" s="391">
        <v>97755</v>
      </c>
    </row>
    <row r="536" spans="2:5" ht="15">
      <c r="B536" s="382" t="s">
        <v>812</v>
      </c>
      <c r="C536" s="391">
        <v>0</v>
      </c>
      <c r="D536" s="391">
        <v>0</v>
      </c>
      <c r="E536" s="391">
        <v>0</v>
      </c>
    </row>
    <row r="537" spans="2:5" ht="15">
      <c r="B537" s="382" t="s">
        <v>813</v>
      </c>
      <c r="C537" s="391">
        <v>2233</v>
      </c>
      <c r="D537" s="391">
        <v>0</v>
      </c>
      <c r="E537" s="391">
        <v>2233</v>
      </c>
    </row>
    <row r="538" ht="28.5" customHeight="1"/>
    <row r="539" spans="1:5" ht="31.5" customHeight="1">
      <c r="A539" s="437" t="s">
        <v>914</v>
      </c>
      <c r="B539" s="436"/>
      <c r="C539" s="436"/>
      <c r="D539" s="436"/>
      <c r="E539" s="436"/>
    </row>
    <row r="540" spans="1:5" ht="14.25">
      <c r="A540" s="395"/>
      <c r="B540" s="396" t="s">
        <v>809</v>
      </c>
      <c r="C540" s="397">
        <v>1461353</v>
      </c>
      <c r="D540" s="397">
        <v>0</v>
      </c>
      <c r="E540" s="397">
        <v>1461353</v>
      </c>
    </row>
    <row r="541" spans="1:5" ht="14.25">
      <c r="A541" s="395"/>
      <c r="B541" s="396" t="s">
        <v>810</v>
      </c>
      <c r="C541" s="397">
        <v>819102</v>
      </c>
      <c r="D541" s="397">
        <v>3170</v>
      </c>
      <c r="E541" s="397">
        <v>822272</v>
      </c>
    </row>
    <row r="542" spans="1:5" ht="14.25">
      <c r="A542" s="395"/>
      <c r="B542" s="396" t="s">
        <v>811</v>
      </c>
      <c r="C542" s="397">
        <v>448705</v>
      </c>
      <c r="D542" s="397">
        <v>-3170</v>
      </c>
      <c r="E542" s="397">
        <v>445535</v>
      </c>
    </row>
    <row r="543" spans="1:5" ht="14.25">
      <c r="A543" s="395"/>
      <c r="B543" s="396" t="s">
        <v>812</v>
      </c>
      <c r="C543" s="397">
        <v>32196</v>
      </c>
      <c r="D543" s="397">
        <v>0</v>
      </c>
      <c r="E543" s="397">
        <v>32196</v>
      </c>
    </row>
    <row r="544" spans="1:5" ht="14.25">
      <c r="A544" s="395"/>
      <c r="B544" s="396" t="s">
        <v>813</v>
      </c>
      <c r="C544" s="397">
        <v>14840</v>
      </c>
      <c r="D544" s="397">
        <v>0</v>
      </c>
      <c r="E544" s="397">
        <v>14840</v>
      </c>
    </row>
    <row r="545" spans="1:5" ht="14.25">
      <c r="A545" s="395"/>
      <c r="B545" s="396" t="s">
        <v>814</v>
      </c>
      <c r="C545" s="397">
        <v>5400</v>
      </c>
      <c r="D545" s="397">
        <v>0</v>
      </c>
      <c r="E545" s="397">
        <v>5400</v>
      </c>
    </row>
    <row r="546" spans="1:5" ht="28.5">
      <c r="A546" s="395"/>
      <c r="B546" s="396" t="s">
        <v>815</v>
      </c>
      <c r="C546" s="397">
        <v>141110</v>
      </c>
      <c r="D546" s="397">
        <v>0</v>
      </c>
      <c r="E546" s="397">
        <v>141110</v>
      </c>
    </row>
    <row r="548" spans="1:5" ht="15.75" customHeight="1">
      <c r="A548" s="435" t="s">
        <v>915</v>
      </c>
      <c r="B548" s="436"/>
      <c r="C548" s="436"/>
      <c r="D548" s="436"/>
      <c r="E548" s="436"/>
    </row>
    <row r="549" spans="2:5" s="394" customFormat="1" ht="14.25">
      <c r="B549" s="389" t="s">
        <v>809</v>
      </c>
      <c r="C549" s="392">
        <v>1102938</v>
      </c>
      <c r="D549" s="392">
        <v>0</v>
      </c>
      <c r="E549" s="392">
        <v>1102938</v>
      </c>
    </row>
    <row r="550" spans="2:5" ht="15">
      <c r="B550" s="382" t="s">
        <v>810</v>
      </c>
      <c r="C550" s="391">
        <v>720362</v>
      </c>
      <c r="D550" s="391">
        <v>3170</v>
      </c>
      <c r="E550" s="391">
        <v>723532</v>
      </c>
    </row>
    <row r="551" spans="2:5" ht="15">
      <c r="B551" s="382" t="s">
        <v>811</v>
      </c>
      <c r="C551" s="391">
        <v>330140</v>
      </c>
      <c r="D551" s="391">
        <v>-3170</v>
      </c>
      <c r="E551" s="391">
        <v>326970</v>
      </c>
    </row>
    <row r="552" spans="2:5" ht="15">
      <c r="B552" s="382" t="s">
        <v>812</v>
      </c>
      <c r="C552" s="391">
        <v>32196</v>
      </c>
      <c r="D552" s="391">
        <v>0</v>
      </c>
      <c r="E552" s="391">
        <v>32196</v>
      </c>
    </row>
    <row r="553" spans="2:5" ht="15">
      <c r="B553" s="382" t="s">
        <v>813</v>
      </c>
      <c r="C553" s="391">
        <v>14840</v>
      </c>
      <c r="D553" s="391">
        <v>0</v>
      </c>
      <c r="E553" s="391">
        <v>14840</v>
      </c>
    </row>
    <row r="554" spans="2:5" ht="15">
      <c r="B554" s="382" t="s">
        <v>814</v>
      </c>
      <c r="C554" s="391">
        <v>5400</v>
      </c>
      <c r="D554" s="391">
        <v>0</v>
      </c>
      <c r="E554" s="391">
        <v>5400</v>
      </c>
    </row>
    <row r="556" spans="1:5" ht="15.75" customHeight="1">
      <c r="A556" s="435" t="s">
        <v>916</v>
      </c>
      <c r="B556" s="436"/>
      <c r="C556" s="436"/>
      <c r="D556" s="436"/>
      <c r="E556" s="436"/>
    </row>
    <row r="557" spans="2:5" s="394" customFormat="1" ht="14.25">
      <c r="B557" s="389" t="s">
        <v>809</v>
      </c>
      <c r="C557" s="392">
        <v>358415</v>
      </c>
      <c r="D557" s="392">
        <v>0</v>
      </c>
      <c r="E557" s="392">
        <v>358415</v>
      </c>
    </row>
    <row r="558" spans="2:5" ht="15">
      <c r="B558" s="382" t="s">
        <v>810</v>
      </c>
      <c r="C558" s="391">
        <v>98740</v>
      </c>
      <c r="D558" s="391">
        <v>0</v>
      </c>
      <c r="E558" s="391">
        <v>98740</v>
      </c>
    </row>
    <row r="559" spans="2:5" ht="15">
      <c r="B559" s="382" t="s">
        <v>811</v>
      </c>
      <c r="C559" s="391">
        <v>118565</v>
      </c>
      <c r="D559" s="391">
        <v>0</v>
      </c>
      <c r="E559" s="391">
        <v>118565</v>
      </c>
    </row>
    <row r="560" spans="2:5" ht="30">
      <c r="B560" s="382" t="s">
        <v>815</v>
      </c>
      <c r="C560" s="391">
        <v>141110</v>
      </c>
      <c r="D560" s="391">
        <v>0</v>
      </c>
      <c r="E560" s="391">
        <v>141110</v>
      </c>
    </row>
    <row r="561" ht="27" customHeight="1"/>
    <row r="562" spans="1:5" ht="31.5" customHeight="1">
      <c r="A562" s="437" t="s">
        <v>917</v>
      </c>
      <c r="B562" s="436"/>
      <c r="C562" s="436"/>
      <c r="D562" s="436"/>
      <c r="E562" s="436"/>
    </row>
    <row r="563" spans="1:5" ht="14.25">
      <c r="A563" s="395"/>
      <c r="B563" s="396" t="s">
        <v>809</v>
      </c>
      <c r="C563" s="397">
        <v>36162490</v>
      </c>
      <c r="D563" s="397">
        <v>107818</v>
      </c>
      <c r="E563" s="397">
        <v>36270308</v>
      </c>
    </row>
    <row r="564" spans="1:5" ht="14.25">
      <c r="A564" s="395"/>
      <c r="B564" s="396" t="s">
        <v>810</v>
      </c>
      <c r="C564" s="397">
        <v>24934053</v>
      </c>
      <c r="D564" s="397">
        <v>-14396</v>
      </c>
      <c r="E564" s="397">
        <v>24919657</v>
      </c>
    </row>
    <row r="565" spans="1:5" ht="14.25">
      <c r="A565" s="395"/>
      <c r="B565" s="396" t="s">
        <v>811</v>
      </c>
      <c r="C565" s="397">
        <v>5380459</v>
      </c>
      <c r="D565" s="397">
        <f>62075-4985</f>
        <v>57090</v>
      </c>
      <c r="E565" s="397">
        <f>5442534-4985</f>
        <v>5437549</v>
      </c>
    </row>
    <row r="566" spans="1:5" ht="14.25">
      <c r="A566" s="395"/>
      <c r="B566" s="396" t="s">
        <v>812</v>
      </c>
      <c r="C566" s="397">
        <v>2951122</v>
      </c>
      <c r="D566" s="397">
        <v>-79144</v>
      </c>
      <c r="E566" s="397">
        <v>2871978</v>
      </c>
    </row>
    <row r="567" spans="1:5" ht="14.25">
      <c r="A567" s="395"/>
      <c r="B567" s="396" t="s">
        <v>813</v>
      </c>
      <c r="C567" s="397">
        <v>1426458</v>
      </c>
      <c r="D567" s="397">
        <f>99960+8835</f>
        <v>108795</v>
      </c>
      <c r="E567" s="397">
        <f>1526418+8835</f>
        <v>1535253</v>
      </c>
    </row>
    <row r="568" spans="1:5" ht="14.25">
      <c r="A568" s="395"/>
      <c r="B568" s="396" t="s">
        <v>814</v>
      </c>
      <c r="C568" s="397">
        <v>512800</v>
      </c>
      <c r="D568" s="397">
        <f>5000-3850</f>
        <v>1150</v>
      </c>
      <c r="E568" s="397">
        <f>517800-3850</f>
        <v>513950</v>
      </c>
    </row>
    <row r="569" spans="1:5" ht="28.5">
      <c r="A569" s="395"/>
      <c r="B569" s="396" t="s">
        <v>815</v>
      </c>
      <c r="C569" s="397">
        <v>957598</v>
      </c>
      <c r="D569" s="397">
        <v>34323</v>
      </c>
      <c r="E569" s="397">
        <v>991921</v>
      </c>
    </row>
    <row r="571" spans="1:5" ht="15.75" customHeight="1">
      <c r="A571" s="435" t="s">
        <v>918</v>
      </c>
      <c r="B571" s="436"/>
      <c r="C571" s="436"/>
      <c r="D571" s="436"/>
      <c r="E571" s="436"/>
    </row>
    <row r="572" spans="2:5" s="394" customFormat="1" ht="14.25">
      <c r="B572" s="389" t="s">
        <v>809</v>
      </c>
      <c r="C572" s="392">
        <v>942384</v>
      </c>
      <c r="D572" s="392">
        <v>18543</v>
      </c>
      <c r="E572" s="392">
        <v>960927</v>
      </c>
    </row>
    <row r="573" spans="2:5" ht="30">
      <c r="B573" s="382" t="s">
        <v>815</v>
      </c>
      <c r="C573" s="391">
        <v>942384</v>
      </c>
      <c r="D573" s="391">
        <v>18543</v>
      </c>
      <c r="E573" s="391">
        <v>960927</v>
      </c>
    </row>
    <row r="575" spans="1:5" ht="15.75" customHeight="1">
      <c r="A575" s="435" t="s">
        <v>919</v>
      </c>
      <c r="B575" s="436"/>
      <c r="C575" s="436"/>
      <c r="D575" s="436"/>
      <c r="E575" s="436"/>
    </row>
    <row r="576" spans="2:5" s="394" customFormat="1" ht="14.25">
      <c r="B576" s="389" t="s">
        <v>809</v>
      </c>
      <c r="C576" s="392">
        <v>10239933</v>
      </c>
      <c r="D576" s="392">
        <v>-8013</v>
      </c>
      <c r="E576" s="392">
        <v>10231920</v>
      </c>
    </row>
    <row r="577" spans="2:5" ht="15">
      <c r="B577" s="382" t="s">
        <v>810</v>
      </c>
      <c r="C577" s="391">
        <v>6024445</v>
      </c>
      <c r="D577" s="391">
        <v>-20569</v>
      </c>
      <c r="E577" s="391">
        <v>6003876</v>
      </c>
    </row>
    <row r="578" spans="2:5" ht="15">
      <c r="B578" s="382" t="s">
        <v>811</v>
      </c>
      <c r="C578" s="391">
        <v>1044546</v>
      </c>
      <c r="D578" s="391">
        <v>-18390</v>
      </c>
      <c r="E578" s="391">
        <v>1026156</v>
      </c>
    </row>
    <row r="579" spans="2:5" ht="15">
      <c r="B579" s="382" t="s">
        <v>812</v>
      </c>
      <c r="C579" s="391">
        <v>2653426</v>
      </c>
      <c r="D579" s="391">
        <v>-79144</v>
      </c>
      <c r="E579" s="391">
        <v>2574282</v>
      </c>
    </row>
    <row r="580" spans="2:5" ht="15">
      <c r="B580" s="382" t="s">
        <v>813</v>
      </c>
      <c r="C580" s="391">
        <v>517516</v>
      </c>
      <c r="D580" s="391">
        <v>110090</v>
      </c>
      <c r="E580" s="391">
        <v>627606</v>
      </c>
    </row>
    <row r="582" spans="1:5" ht="15.75" customHeight="1">
      <c r="A582" s="435" t="s">
        <v>920</v>
      </c>
      <c r="B582" s="436"/>
      <c r="C582" s="436"/>
      <c r="D582" s="436"/>
      <c r="E582" s="436"/>
    </row>
    <row r="583" spans="2:5" s="394" customFormat="1" ht="14.25">
      <c r="B583" s="389" t="s">
        <v>809</v>
      </c>
      <c r="C583" s="392">
        <v>16404381</v>
      </c>
      <c r="D583" s="392">
        <v>5991</v>
      </c>
      <c r="E583" s="392">
        <v>16410372</v>
      </c>
    </row>
    <row r="584" spans="2:5" ht="15">
      <c r="B584" s="382" t="s">
        <v>810</v>
      </c>
      <c r="C584" s="391">
        <v>12966487</v>
      </c>
      <c r="D584" s="391">
        <v>1807</v>
      </c>
      <c r="E584" s="391">
        <v>12968294</v>
      </c>
    </row>
    <row r="585" spans="2:5" ht="15">
      <c r="B585" s="382" t="s">
        <v>811</v>
      </c>
      <c r="C585" s="391">
        <v>2734924</v>
      </c>
      <c r="D585" s="391">
        <v>57839</v>
      </c>
      <c r="E585" s="391">
        <v>2792763</v>
      </c>
    </row>
    <row r="586" spans="2:5" ht="15">
      <c r="B586" s="382" t="s">
        <v>812</v>
      </c>
      <c r="C586" s="391">
        <v>273921</v>
      </c>
      <c r="D586" s="391">
        <v>0</v>
      </c>
      <c r="E586" s="391">
        <v>273921</v>
      </c>
    </row>
    <row r="587" spans="2:5" ht="15">
      <c r="B587" s="382" t="s">
        <v>813</v>
      </c>
      <c r="C587" s="391">
        <v>384383</v>
      </c>
      <c r="D587" s="391">
        <v>-53655</v>
      </c>
      <c r="E587" s="391">
        <v>330728</v>
      </c>
    </row>
    <row r="588" spans="2:5" ht="15">
      <c r="B588" s="382" t="s">
        <v>814</v>
      </c>
      <c r="C588" s="391">
        <v>44175</v>
      </c>
      <c r="D588" s="391">
        <v>0</v>
      </c>
      <c r="E588" s="391">
        <v>44175</v>
      </c>
    </row>
    <row r="589" spans="2:5" ht="30">
      <c r="B589" s="382" t="s">
        <v>815</v>
      </c>
      <c r="C589" s="391">
        <v>491</v>
      </c>
      <c r="D589" s="391">
        <v>0</v>
      </c>
      <c r="E589" s="391">
        <v>491</v>
      </c>
    </row>
    <row r="591" spans="1:5" ht="31.5" customHeight="1">
      <c r="A591" s="435" t="s">
        <v>921</v>
      </c>
      <c r="B591" s="436"/>
      <c r="C591" s="436"/>
      <c r="D591" s="436"/>
      <c r="E591" s="436"/>
    </row>
    <row r="592" spans="2:5" s="394" customFormat="1" ht="14.25">
      <c r="B592" s="389" t="s">
        <v>809</v>
      </c>
      <c r="C592" s="392">
        <v>2443886</v>
      </c>
      <c r="D592" s="392">
        <v>25830</v>
      </c>
      <c r="E592" s="392">
        <v>2469716</v>
      </c>
    </row>
    <row r="593" spans="2:5" ht="15">
      <c r="B593" s="382" t="s">
        <v>810</v>
      </c>
      <c r="C593" s="391">
        <v>1913891</v>
      </c>
      <c r="D593" s="391">
        <v>-493</v>
      </c>
      <c r="E593" s="391">
        <v>1913398</v>
      </c>
    </row>
    <row r="594" spans="2:5" ht="15">
      <c r="B594" s="382" t="s">
        <v>811</v>
      </c>
      <c r="C594" s="391">
        <v>489454</v>
      </c>
      <c r="D594" s="391">
        <f>8106-8235</f>
        <v>-129</v>
      </c>
      <c r="E594" s="391">
        <f>497560-8235</f>
        <v>489325</v>
      </c>
    </row>
    <row r="595" spans="2:5" ht="15">
      <c r="B595" s="382" t="s">
        <v>813</v>
      </c>
      <c r="C595" s="391">
        <v>40538</v>
      </c>
      <c r="D595" s="391">
        <f>18217+8235</f>
        <v>26452</v>
      </c>
      <c r="E595" s="391">
        <f>58755+8235</f>
        <v>66990</v>
      </c>
    </row>
    <row r="596" spans="2:5" ht="30">
      <c r="B596" s="382" t="s">
        <v>815</v>
      </c>
      <c r="C596" s="391">
        <v>3</v>
      </c>
      <c r="D596" s="391">
        <v>0</v>
      </c>
      <c r="E596" s="391">
        <v>3</v>
      </c>
    </row>
    <row r="598" spans="1:5" ht="15.75" customHeight="1">
      <c r="A598" s="435" t="s">
        <v>922</v>
      </c>
      <c r="B598" s="436"/>
      <c r="C598" s="436"/>
      <c r="D598" s="436"/>
      <c r="E598" s="436"/>
    </row>
    <row r="599" spans="2:5" s="394" customFormat="1" ht="14.25">
      <c r="B599" s="389" t="s">
        <v>809</v>
      </c>
      <c r="C599" s="392">
        <v>431737</v>
      </c>
      <c r="D599" s="392">
        <v>2303</v>
      </c>
      <c r="E599" s="392">
        <v>434040</v>
      </c>
    </row>
    <row r="600" spans="2:5" ht="15">
      <c r="B600" s="382" t="s">
        <v>810</v>
      </c>
      <c r="C600" s="391">
        <v>11397</v>
      </c>
      <c r="D600" s="391">
        <v>0</v>
      </c>
      <c r="E600" s="391">
        <v>11397</v>
      </c>
    </row>
    <row r="601" spans="2:5" ht="15">
      <c r="B601" s="382" t="s">
        <v>811</v>
      </c>
      <c r="C601" s="391">
        <v>390538</v>
      </c>
      <c r="D601" s="391">
        <v>-7737</v>
      </c>
      <c r="E601" s="391">
        <v>382801</v>
      </c>
    </row>
    <row r="602" spans="2:5" ht="15">
      <c r="B602" s="382" t="s">
        <v>813</v>
      </c>
      <c r="C602" s="391">
        <v>16493</v>
      </c>
      <c r="D602" s="391">
        <v>5040</v>
      </c>
      <c r="E602" s="391">
        <v>21533</v>
      </c>
    </row>
    <row r="603" spans="2:5" ht="30">
      <c r="B603" s="382" t="s">
        <v>815</v>
      </c>
      <c r="C603" s="391">
        <v>13309</v>
      </c>
      <c r="D603" s="391">
        <v>5000</v>
      </c>
      <c r="E603" s="391">
        <v>18309</v>
      </c>
    </row>
    <row r="605" spans="1:5" ht="15.75" customHeight="1">
      <c r="A605" s="435" t="s">
        <v>923</v>
      </c>
      <c r="B605" s="436"/>
      <c r="C605" s="436"/>
      <c r="D605" s="436"/>
      <c r="E605" s="436"/>
    </row>
    <row r="606" spans="2:5" s="394" customFormat="1" ht="14.25">
      <c r="B606" s="389" t="s">
        <v>809</v>
      </c>
      <c r="C606" s="392">
        <v>1398574</v>
      </c>
      <c r="D606" s="392">
        <v>11211</v>
      </c>
      <c r="E606" s="392">
        <v>1409785</v>
      </c>
    </row>
    <row r="607" spans="2:5" ht="15">
      <c r="B607" s="382" t="s">
        <v>810</v>
      </c>
      <c r="C607" s="391">
        <v>1145416</v>
      </c>
      <c r="D607" s="391">
        <v>2648</v>
      </c>
      <c r="E607" s="391">
        <v>1148064</v>
      </c>
    </row>
    <row r="608" spans="2:5" ht="15">
      <c r="B608" s="382" t="s">
        <v>811</v>
      </c>
      <c r="C608" s="391">
        <v>165023</v>
      </c>
      <c r="D608" s="391">
        <f>5116+3250</f>
        <v>8366</v>
      </c>
      <c r="E608" s="391">
        <f>170139+3250</f>
        <v>173389</v>
      </c>
    </row>
    <row r="609" spans="2:5" ht="15">
      <c r="B609" s="382" t="s">
        <v>813</v>
      </c>
      <c r="C609" s="391">
        <v>1910</v>
      </c>
      <c r="D609" s="391">
        <f>3447+600</f>
        <v>4047</v>
      </c>
      <c r="E609" s="391">
        <f>5357+600</f>
        <v>5957</v>
      </c>
    </row>
    <row r="610" spans="2:5" ht="15">
      <c r="B610" s="382" t="s">
        <v>814</v>
      </c>
      <c r="C610" s="391">
        <v>86225</v>
      </c>
      <c r="D610" s="391">
        <v>-3850</v>
      </c>
      <c r="E610" s="391">
        <f>86225-3850</f>
        <v>82375</v>
      </c>
    </row>
    <row r="612" spans="1:5" ht="15.75" customHeight="1">
      <c r="A612" s="435" t="s">
        <v>924</v>
      </c>
      <c r="B612" s="436"/>
      <c r="C612" s="436"/>
      <c r="D612" s="436"/>
      <c r="E612" s="436"/>
    </row>
    <row r="613" spans="2:5" s="394" customFormat="1" ht="14.25">
      <c r="B613" s="389" t="s">
        <v>809</v>
      </c>
      <c r="C613" s="392">
        <v>380006</v>
      </c>
      <c r="D613" s="392">
        <v>2747</v>
      </c>
      <c r="E613" s="392">
        <v>382753</v>
      </c>
    </row>
    <row r="614" spans="2:5" ht="15">
      <c r="B614" s="382" t="s">
        <v>810</v>
      </c>
      <c r="C614" s="391">
        <v>132482</v>
      </c>
      <c r="D614" s="391">
        <v>-3845</v>
      </c>
      <c r="E614" s="391">
        <v>128637</v>
      </c>
    </row>
    <row r="615" spans="2:5" ht="15">
      <c r="B615" s="382" t="s">
        <v>811</v>
      </c>
      <c r="C615" s="391">
        <v>241831</v>
      </c>
      <c r="D615" s="391">
        <v>-408</v>
      </c>
      <c r="E615" s="391">
        <v>241423</v>
      </c>
    </row>
    <row r="616" spans="2:5" ht="15">
      <c r="B616" s="382" t="s">
        <v>813</v>
      </c>
      <c r="C616" s="391">
        <v>5693</v>
      </c>
      <c r="D616" s="391">
        <v>2000</v>
      </c>
      <c r="E616" s="391">
        <v>7693</v>
      </c>
    </row>
    <row r="617" spans="2:5" ht="15">
      <c r="B617" s="382" t="s">
        <v>814</v>
      </c>
      <c r="C617" s="391">
        <v>0</v>
      </c>
      <c r="D617" s="391">
        <v>5000</v>
      </c>
      <c r="E617" s="391">
        <v>5000</v>
      </c>
    </row>
    <row r="619" spans="1:5" ht="15">
      <c r="A619" s="435" t="s">
        <v>925</v>
      </c>
      <c r="B619" s="436"/>
      <c r="C619" s="436"/>
      <c r="D619" s="436"/>
      <c r="E619" s="436"/>
    </row>
    <row r="620" spans="2:5" s="394" customFormat="1" ht="14.25">
      <c r="B620" s="389" t="s">
        <v>809</v>
      </c>
      <c r="C620" s="392">
        <v>1365943</v>
      </c>
      <c r="D620" s="392">
        <v>17671</v>
      </c>
      <c r="E620" s="392">
        <v>1383614</v>
      </c>
    </row>
    <row r="621" spans="2:5" ht="15">
      <c r="B621" s="382" t="s">
        <v>810</v>
      </c>
      <c r="C621" s="391">
        <v>1006926</v>
      </c>
      <c r="D621" s="391">
        <v>1150</v>
      </c>
      <c r="E621" s="391">
        <v>1008076</v>
      </c>
    </row>
    <row r="622" spans="2:5" ht="15">
      <c r="B622" s="382" t="s">
        <v>811</v>
      </c>
      <c r="C622" s="391">
        <v>168540</v>
      </c>
      <c r="D622" s="391">
        <v>6550</v>
      </c>
      <c r="E622" s="391">
        <v>175090</v>
      </c>
    </row>
    <row r="623" spans="2:5" ht="15">
      <c r="B623" s="382" t="s">
        <v>812</v>
      </c>
      <c r="C623" s="391">
        <v>20095</v>
      </c>
      <c r="D623" s="391">
        <v>0</v>
      </c>
      <c r="E623" s="391">
        <v>20095</v>
      </c>
    </row>
    <row r="624" spans="2:5" ht="15">
      <c r="B624" s="382" t="s">
        <v>813</v>
      </c>
      <c r="C624" s="391">
        <v>170382</v>
      </c>
      <c r="D624" s="391">
        <v>9971</v>
      </c>
      <c r="E624" s="391">
        <v>180353</v>
      </c>
    </row>
    <row r="625" ht="12" customHeight="1"/>
    <row r="626" spans="1:5" ht="15.75" customHeight="1">
      <c r="A626" s="435" t="s">
        <v>926</v>
      </c>
      <c r="B626" s="436"/>
      <c r="C626" s="436"/>
      <c r="D626" s="436"/>
      <c r="E626" s="436"/>
    </row>
    <row r="627" spans="2:5" s="394" customFormat="1" ht="14.25">
      <c r="B627" s="389" t="s">
        <v>809</v>
      </c>
      <c r="C627" s="392">
        <v>292520</v>
      </c>
      <c r="D627" s="392">
        <v>3050</v>
      </c>
      <c r="E627" s="392">
        <v>295570</v>
      </c>
    </row>
    <row r="628" spans="2:5" ht="15">
      <c r="B628" s="382" t="s">
        <v>810</v>
      </c>
      <c r="C628" s="391">
        <v>237493</v>
      </c>
      <c r="D628" s="391">
        <v>0</v>
      </c>
      <c r="E628" s="391">
        <v>237493</v>
      </c>
    </row>
    <row r="629" spans="2:5" ht="15">
      <c r="B629" s="382" t="s">
        <v>811</v>
      </c>
      <c r="C629" s="391">
        <v>46546</v>
      </c>
      <c r="D629" s="391">
        <v>3050</v>
      </c>
      <c r="E629" s="391">
        <v>49596</v>
      </c>
    </row>
    <row r="630" spans="2:5" ht="15">
      <c r="B630" s="382" t="s">
        <v>813</v>
      </c>
      <c r="C630" s="391">
        <v>7070</v>
      </c>
      <c r="D630" s="391">
        <v>0</v>
      </c>
      <c r="E630" s="391">
        <v>7070</v>
      </c>
    </row>
    <row r="631" spans="2:5" ht="30">
      <c r="B631" s="382" t="s">
        <v>815</v>
      </c>
      <c r="C631" s="391">
        <v>1411</v>
      </c>
      <c r="D631" s="391">
        <v>0</v>
      </c>
      <c r="E631" s="391">
        <v>1411</v>
      </c>
    </row>
    <row r="632" ht="10.5" customHeight="1"/>
    <row r="633" spans="1:5" ht="15.75" customHeight="1">
      <c r="A633" s="435" t="s">
        <v>927</v>
      </c>
      <c r="B633" s="436"/>
      <c r="C633" s="436"/>
      <c r="D633" s="436"/>
      <c r="E633" s="436"/>
    </row>
    <row r="634" spans="2:5" s="394" customFormat="1" ht="14.25">
      <c r="B634" s="389" t="s">
        <v>809</v>
      </c>
      <c r="C634" s="392">
        <v>15453</v>
      </c>
      <c r="D634" s="392">
        <v>6583</v>
      </c>
      <c r="E634" s="392">
        <v>22036</v>
      </c>
    </row>
    <row r="635" spans="2:5" ht="15">
      <c r="B635" s="382" t="s">
        <v>810</v>
      </c>
      <c r="C635" s="391">
        <v>15453</v>
      </c>
      <c r="D635" s="391">
        <v>6583</v>
      </c>
      <c r="E635" s="391">
        <v>22036</v>
      </c>
    </row>
    <row r="636" ht="10.5" customHeight="1"/>
    <row r="637" spans="1:5" ht="15.75" customHeight="1">
      <c r="A637" s="435" t="s">
        <v>928</v>
      </c>
      <c r="B637" s="436"/>
      <c r="C637" s="436"/>
      <c r="D637" s="436"/>
      <c r="E637" s="436"/>
    </row>
    <row r="638" spans="2:5" s="394" customFormat="1" ht="14.25">
      <c r="B638" s="389" t="s">
        <v>809</v>
      </c>
      <c r="C638" s="392">
        <v>1121627</v>
      </c>
      <c r="D638" s="392">
        <v>16000</v>
      </c>
      <c r="E638" s="392">
        <v>1137627</v>
      </c>
    </row>
    <row r="639" spans="2:5" ht="15">
      <c r="B639" s="382" t="s">
        <v>810</v>
      </c>
      <c r="C639" s="391">
        <v>763348</v>
      </c>
      <c r="D639" s="391">
        <v>8419</v>
      </c>
      <c r="E639" s="391">
        <v>771767</v>
      </c>
    </row>
    <row r="640" spans="2:5" ht="15">
      <c r="B640" s="382" t="s">
        <v>811</v>
      </c>
      <c r="C640" s="391">
        <v>78402</v>
      </c>
      <c r="D640" s="391">
        <v>7581</v>
      </c>
      <c r="E640" s="391">
        <v>85983</v>
      </c>
    </row>
    <row r="641" spans="2:5" ht="15">
      <c r="B641" s="382" t="s">
        <v>813</v>
      </c>
      <c r="C641" s="391">
        <v>279477</v>
      </c>
      <c r="D641" s="391">
        <v>0</v>
      </c>
      <c r="E641" s="391">
        <v>279477</v>
      </c>
    </row>
    <row r="642" spans="2:5" ht="15">
      <c r="B642" s="382" t="s">
        <v>814</v>
      </c>
      <c r="C642" s="391">
        <v>400</v>
      </c>
      <c r="D642" s="391">
        <v>0</v>
      </c>
      <c r="E642" s="391">
        <v>400</v>
      </c>
    </row>
    <row r="644" spans="1:5" ht="15.75" customHeight="1">
      <c r="A644" s="435" t="s">
        <v>929</v>
      </c>
      <c r="B644" s="436"/>
      <c r="C644" s="436"/>
      <c r="D644" s="436"/>
      <c r="E644" s="436"/>
    </row>
    <row r="645" spans="2:5" s="394" customFormat="1" ht="14.25">
      <c r="B645" s="389" t="s">
        <v>809</v>
      </c>
      <c r="C645" s="392">
        <v>653641</v>
      </c>
      <c r="D645" s="392">
        <v>752</v>
      </c>
      <c r="E645" s="392">
        <v>654393</v>
      </c>
    </row>
    <row r="646" spans="2:5" ht="15">
      <c r="B646" s="382" t="s">
        <v>810</v>
      </c>
      <c r="C646" s="391">
        <v>631608</v>
      </c>
      <c r="D646" s="391">
        <v>-10096</v>
      </c>
      <c r="E646" s="391">
        <v>621512</v>
      </c>
    </row>
    <row r="647" spans="2:5" ht="15">
      <c r="B647" s="382" t="s">
        <v>811</v>
      </c>
      <c r="C647" s="391">
        <v>15357</v>
      </c>
      <c r="D647" s="391">
        <v>68</v>
      </c>
      <c r="E647" s="391">
        <v>15425</v>
      </c>
    </row>
    <row r="648" spans="2:5" ht="15">
      <c r="B648" s="382" t="s">
        <v>812</v>
      </c>
      <c r="C648" s="391">
        <v>3680</v>
      </c>
      <c r="D648" s="391">
        <v>0</v>
      </c>
      <c r="E648" s="391">
        <v>3680</v>
      </c>
    </row>
    <row r="649" spans="2:5" ht="15">
      <c r="B649" s="382" t="s">
        <v>813</v>
      </c>
      <c r="C649" s="391">
        <v>2996</v>
      </c>
      <c r="D649" s="391">
        <v>0</v>
      </c>
      <c r="E649" s="391">
        <v>2996</v>
      </c>
    </row>
    <row r="650" spans="2:5" ht="30">
      <c r="B650" s="382" t="s">
        <v>815</v>
      </c>
      <c r="C650" s="391">
        <v>0</v>
      </c>
      <c r="D650" s="391">
        <v>10780</v>
      </c>
      <c r="E650" s="391">
        <v>10780</v>
      </c>
    </row>
    <row r="651" ht="11.25" customHeight="1"/>
    <row r="652" spans="1:5" ht="15.75" customHeight="1">
      <c r="A652" s="435" t="s">
        <v>930</v>
      </c>
      <c r="B652" s="436"/>
      <c r="C652" s="436"/>
      <c r="D652" s="436"/>
      <c r="E652" s="436"/>
    </row>
    <row r="653" spans="2:5" s="394" customFormat="1" ht="14.25">
      <c r="B653" s="389" t="s">
        <v>809</v>
      </c>
      <c r="C653" s="392">
        <v>90405</v>
      </c>
      <c r="D653" s="392">
        <v>5150</v>
      </c>
      <c r="E653" s="392">
        <v>95555</v>
      </c>
    </row>
    <row r="654" spans="2:5" ht="15">
      <c r="B654" s="382" t="s">
        <v>810</v>
      </c>
      <c r="C654" s="391">
        <v>85107</v>
      </c>
      <c r="D654" s="391">
        <v>0</v>
      </c>
      <c r="E654" s="391">
        <v>85107</v>
      </c>
    </row>
    <row r="655" spans="2:5" ht="15">
      <c r="B655" s="382" t="s">
        <v>811</v>
      </c>
      <c r="C655" s="391">
        <v>5298</v>
      </c>
      <c r="D655" s="391">
        <v>300</v>
      </c>
      <c r="E655" s="391">
        <v>5598</v>
      </c>
    </row>
    <row r="656" spans="2:5" ht="15">
      <c r="B656" s="382" t="s">
        <v>813</v>
      </c>
      <c r="C656" s="391">
        <v>0</v>
      </c>
      <c r="D656" s="391">
        <v>4850</v>
      </c>
      <c r="E656" s="391">
        <v>4850</v>
      </c>
    </row>
    <row r="658" spans="1:5" ht="15.75" customHeight="1">
      <c r="A658" s="435" t="s">
        <v>931</v>
      </c>
      <c r="B658" s="436"/>
      <c r="C658" s="436"/>
      <c r="D658" s="436"/>
      <c r="E658" s="436"/>
    </row>
    <row r="659" spans="2:5" s="394" customFormat="1" ht="14.25">
      <c r="B659" s="389" t="s">
        <v>809</v>
      </c>
      <c r="C659" s="392">
        <v>382000</v>
      </c>
      <c r="D659" s="392">
        <v>0</v>
      </c>
      <c r="E659" s="392">
        <v>382000</v>
      </c>
    </row>
    <row r="660" spans="2:5" ht="15">
      <c r="B660" s="382" t="s">
        <v>814</v>
      </c>
      <c r="C660" s="391">
        <v>382000</v>
      </c>
      <c r="D660" s="391">
        <v>0</v>
      </c>
      <c r="E660" s="391">
        <v>382000</v>
      </c>
    </row>
    <row r="661" ht="20.25" customHeight="1"/>
    <row r="662" spans="1:5" ht="15.75" customHeight="1">
      <c r="A662" s="437" t="s">
        <v>932</v>
      </c>
      <c r="B662" s="436"/>
      <c r="C662" s="436"/>
      <c r="D662" s="436"/>
      <c r="E662" s="436"/>
    </row>
    <row r="663" spans="1:5" ht="14.25">
      <c r="A663" s="395"/>
      <c r="B663" s="396" t="s">
        <v>809</v>
      </c>
      <c r="C663" s="397">
        <v>226932</v>
      </c>
      <c r="D663" s="397">
        <v>0</v>
      </c>
      <c r="E663" s="397">
        <v>226932</v>
      </c>
    </row>
    <row r="664" spans="1:5" ht="14.25">
      <c r="A664" s="395"/>
      <c r="B664" s="396" t="s">
        <v>810</v>
      </c>
      <c r="C664" s="397">
        <v>192438</v>
      </c>
      <c r="D664" s="397">
        <v>0</v>
      </c>
      <c r="E664" s="397">
        <v>192438</v>
      </c>
    </row>
    <row r="665" spans="1:5" ht="14.25">
      <c r="A665" s="395"/>
      <c r="B665" s="396" t="s">
        <v>811</v>
      </c>
      <c r="C665" s="397">
        <v>28690</v>
      </c>
      <c r="D665" s="397">
        <v>0</v>
      </c>
      <c r="E665" s="397">
        <v>28690</v>
      </c>
    </row>
    <row r="666" spans="1:5" ht="14.25">
      <c r="A666" s="395"/>
      <c r="B666" s="396" t="s">
        <v>813</v>
      </c>
      <c r="C666" s="397">
        <v>5804</v>
      </c>
      <c r="D666" s="397">
        <v>0</v>
      </c>
      <c r="E666" s="397">
        <v>5804</v>
      </c>
    </row>
    <row r="668" spans="1:5" ht="15.75" customHeight="1">
      <c r="A668" s="435" t="s">
        <v>933</v>
      </c>
      <c r="B668" s="436"/>
      <c r="C668" s="436"/>
      <c r="D668" s="436"/>
      <c r="E668" s="436"/>
    </row>
    <row r="669" spans="2:5" s="394" customFormat="1" ht="14.25">
      <c r="B669" s="389" t="s">
        <v>809</v>
      </c>
      <c r="C669" s="392">
        <v>226932</v>
      </c>
      <c r="D669" s="392">
        <v>0</v>
      </c>
      <c r="E669" s="392">
        <v>226932</v>
      </c>
    </row>
    <row r="670" spans="2:5" ht="15">
      <c r="B670" s="382" t="s">
        <v>810</v>
      </c>
      <c r="C670" s="391">
        <v>192438</v>
      </c>
      <c r="D670" s="391">
        <v>0</v>
      </c>
      <c r="E670" s="391">
        <v>192438</v>
      </c>
    </row>
    <row r="671" spans="2:5" ht="15">
      <c r="B671" s="382" t="s">
        <v>811</v>
      </c>
      <c r="C671" s="391">
        <v>28690</v>
      </c>
      <c r="D671" s="391">
        <v>0</v>
      </c>
      <c r="E671" s="391">
        <v>28690</v>
      </c>
    </row>
    <row r="672" spans="2:5" ht="15">
      <c r="B672" s="382" t="s">
        <v>813</v>
      </c>
      <c r="C672" s="391">
        <v>5804</v>
      </c>
      <c r="D672" s="391">
        <v>0</v>
      </c>
      <c r="E672" s="391">
        <v>5804</v>
      </c>
    </row>
    <row r="673" ht="24" customHeight="1"/>
    <row r="674" spans="1:5" ht="31.5" customHeight="1">
      <c r="A674" s="437" t="s">
        <v>934</v>
      </c>
      <c r="B674" s="436"/>
      <c r="C674" s="436"/>
      <c r="D674" s="436"/>
      <c r="E674" s="436"/>
    </row>
    <row r="675" spans="1:5" ht="14.25">
      <c r="A675" s="395"/>
      <c r="B675" s="396" t="s">
        <v>809</v>
      </c>
      <c r="C675" s="397">
        <v>8290760</v>
      </c>
      <c r="D675" s="397">
        <v>4322</v>
      </c>
      <c r="E675" s="397">
        <v>8295082</v>
      </c>
    </row>
    <row r="676" spans="1:5" ht="14.25">
      <c r="A676" s="395"/>
      <c r="B676" s="396" t="s">
        <v>810</v>
      </c>
      <c r="C676" s="397">
        <v>3439547</v>
      </c>
      <c r="D676" s="397">
        <v>-186692</v>
      </c>
      <c r="E676" s="397">
        <v>3252855</v>
      </c>
    </row>
    <row r="677" spans="1:5" ht="14.25">
      <c r="A677" s="395"/>
      <c r="B677" s="396" t="s">
        <v>811</v>
      </c>
      <c r="C677" s="397">
        <v>435639</v>
      </c>
      <c r="D677" s="397">
        <v>-1297</v>
      </c>
      <c r="E677" s="397">
        <v>434342</v>
      </c>
    </row>
    <row r="678" spans="1:5" ht="14.25">
      <c r="A678" s="395"/>
      <c r="B678" s="396" t="s">
        <v>813</v>
      </c>
      <c r="C678" s="397">
        <v>38915</v>
      </c>
      <c r="D678" s="397">
        <v>0</v>
      </c>
      <c r="E678" s="397">
        <v>38915</v>
      </c>
    </row>
    <row r="679" spans="1:5" ht="14.25">
      <c r="A679" s="395"/>
      <c r="B679" s="396" t="s">
        <v>814</v>
      </c>
      <c r="C679" s="397">
        <v>4376659</v>
      </c>
      <c r="D679" s="397">
        <v>192311</v>
      </c>
      <c r="E679" s="397">
        <v>4568970</v>
      </c>
    </row>
    <row r="681" spans="1:5" ht="15.75" customHeight="1">
      <c r="A681" s="435" t="s">
        <v>935</v>
      </c>
      <c r="B681" s="436"/>
      <c r="C681" s="436"/>
      <c r="D681" s="436"/>
      <c r="E681" s="436"/>
    </row>
    <row r="682" spans="2:5" s="394" customFormat="1" ht="14.25">
      <c r="B682" s="389" t="s">
        <v>809</v>
      </c>
      <c r="C682" s="392">
        <v>71109</v>
      </c>
      <c r="D682" s="392">
        <v>800</v>
      </c>
      <c r="E682" s="392">
        <v>71909</v>
      </c>
    </row>
    <row r="683" spans="2:5" ht="15">
      <c r="B683" s="382" t="s">
        <v>814</v>
      </c>
      <c r="C683" s="391">
        <v>71109</v>
      </c>
      <c r="D683" s="391">
        <v>800</v>
      </c>
      <c r="E683" s="391">
        <v>71909</v>
      </c>
    </row>
    <row r="685" spans="1:5" ht="15.75" customHeight="1">
      <c r="A685" s="435" t="s">
        <v>936</v>
      </c>
      <c r="B685" s="436"/>
      <c r="C685" s="436"/>
      <c r="D685" s="436"/>
      <c r="E685" s="436"/>
    </row>
    <row r="686" spans="2:5" s="394" customFormat="1" ht="14.25">
      <c r="B686" s="389" t="s">
        <v>809</v>
      </c>
      <c r="C686" s="392">
        <v>12340</v>
      </c>
      <c r="D686" s="392">
        <v>3446</v>
      </c>
      <c r="E686" s="392">
        <v>15786</v>
      </c>
    </row>
    <row r="687" spans="2:5" ht="15">
      <c r="B687" s="382" t="s">
        <v>814</v>
      </c>
      <c r="C687" s="391">
        <v>12340</v>
      </c>
      <c r="D687" s="391">
        <v>3446</v>
      </c>
      <c r="E687" s="391">
        <v>15786</v>
      </c>
    </row>
    <row r="689" spans="1:5" ht="15.75" customHeight="1">
      <c r="A689" s="435" t="s">
        <v>937</v>
      </c>
      <c r="B689" s="436"/>
      <c r="C689" s="436"/>
      <c r="D689" s="436"/>
      <c r="E689" s="436"/>
    </row>
    <row r="690" spans="2:5" s="394" customFormat="1" ht="14.25">
      <c r="B690" s="389" t="s">
        <v>809</v>
      </c>
      <c r="C690" s="392">
        <v>26998</v>
      </c>
      <c r="D690" s="392">
        <v>2020</v>
      </c>
      <c r="E690" s="392">
        <v>29018</v>
      </c>
    </row>
    <row r="691" spans="2:5" ht="15">
      <c r="B691" s="382" t="s">
        <v>814</v>
      </c>
      <c r="C691" s="391">
        <v>26998</v>
      </c>
      <c r="D691" s="391">
        <v>2020</v>
      </c>
      <c r="E691" s="391">
        <v>29018</v>
      </c>
    </row>
    <row r="693" spans="1:5" ht="15.75" customHeight="1">
      <c r="A693" s="435" t="s">
        <v>938</v>
      </c>
      <c r="B693" s="436"/>
      <c r="C693" s="436"/>
      <c r="D693" s="436"/>
      <c r="E693" s="436"/>
    </row>
    <row r="694" spans="2:5" s="394" customFormat="1" ht="14.25">
      <c r="B694" s="389" t="s">
        <v>809</v>
      </c>
      <c r="C694" s="392">
        <v>4386</v>
      </c>
      <c r="D694" s="392">
        <v>0</v>
      </c>
      <c r="E694" s="392">
        <v>4386</v>
      </c>
    </row>
    <row r="695" spans="2:5" ht="15">
      <c r="B695" s="382" t="s">
        <v>811</v>
      </c>
      <c r="C695" s="391">
        <v>4386</v>
      </c>
      <c r="D695" s="391">
        <v>0</v>
      </c>
      <c r="E695" s="391">
        <v>4386</v>
      </c>
    </row>
    <row r="697" spans="1:5" ht="15.75" customHeight="1">
      <c r="A697" s="435" t="s">
        <v>939</v>
      </c>
      <c r="B697" s="436"/>
      <c r="C697" s="436"/>
      <c r="D697" s="436"/>
      <c r="E697" s="436"/>
    </row>
    <row r="698" spans="2:5" s="394" customFormat="1" ht="14.25">
      <c r="B698" s="389" t="s">
        <v>809</v>
      </c>
      <c r="C698" s="392">
        <v>1523609</v>
      </c>
      <c r="D698" s="392">
        <v>-13099</v>
      </c>
      <c r="E698" s="392">
        <v>1510510</v>
      </c>
    </row>
    <row r="699" spans="2:5" ht="15">
      <c r="B699" s="382" t="s">
        <v>810</v>
      </c>
      <c r="C699" s="391">
        <v>1336317</v>
      </c>
      <c r="D699" s="391">
        <v>800</v>
      </c>
      <c r="E699" s="391">
        <v>1337117</v>
      </c>
    </row>
    <row r="700" spans="2:5" ht="15">
      <c r="B700" s="382" t="s">
        <v>811</v>
      </c>
      <c r="C700" s="391">
        <v>53536</v>
      </c>
      <c r="D700" s="391">
        <v>0</v>
      </c>
      <c r="E700" s="391">
        <v>53536</v>
      </c>
    </row>
    <row r="701" spans="2:5" ht="15">
      <c r="B701" s="382" t="s">
        <v>813</v>
      </c>
      <c r="C701" s="391">
        <v>2520</v>
      </c>
      <c r="D701" s="391">
        <v>0</v>
      </c>
      <c r="E701" s="391">
        <v>2520</v>
      </c>
    </row>
    <row r="702" spans="2:5" ht="15">
      <c r="B702" s="382" t="s">
        <v>814</v>
      </c>
      <c r="C702" s="391">
        <v>131236</v>
      </c>
      <c r="D702" s="391">
        <v>-13899</v>
      </c>
      <c r="E702" s="391">
        <v>117337</v>
      </c>
    </row>
    <row r="704" spans="1:5" ht="15.75" customHeight="1">
      <c r="A704" s="435" t="s">
        <v>940</v>
      </c>
      <c r="B704" s="436"/>
      <c r="C704" s="436"/>
      <c r="D704" s="436"/>
      <c r="E704" s="436"/>
    </row>
    <row r="705" spans="2:5" s="394" customFormat="1" ht="14.25">
      <c r="B705" s="389" t="s">
        <v>809</v>
      </c>
      <c r="C705" s="392">
        <v>98417</v>
      </c>
      <c r="D705" s="392">
        <v>-17285</v>
      </c>
      <c r="E705" s="392">
        <v>81132</v>
      </c>
    </row>
    <row r="706" spans="2:5" ht="15">
      <c r="B706" s="382" t="s">
        <v>810</v>
      </c>
      <c r="C706" s="391">
        <v>87889</v>
      </c>
      <c r="D706" s="391">
        <v>-17285</v>
      </c>
      <c r="E706" s="391">
        <v>70604</v>
      </c>
    </row>
    <row r="707" spans="2:5" ht="15">
      <c r="B707" s="382" t="s">
        <v>811</v>
      </c>
      <c r="C707" s="391">
        <v>10528</v>
      </c>
      <c r="D707" s="391">
        <v>0</v>
      </c>
      <c r="E707" s="391">
        <v>10528</v>
      </c>
    </row>
    <row r="709" spans="1:5" ht="15.75" customHeight="1">
      <c r="A709" s="435" t="s">
        <v>941</v>
      </c>
      <c r="B709" s="436"/>
      <c r="C709" s="436"/>
      <c r="D709" s="436"/>
      <c r="E709" s="436"/>
    </row>
    <row r="710" spans="2:5" s="394" customFormat="1" ht="14.25">
      <c r="B710" s="389" t="s">
        <v>809</v>
      </c>
      <c r="C710" s="392">
        <v>91856</v>
      </c>
      <c r="D710" s="392">
        <v>-10500</v>
      </c>
      <c r="E710" s="392">
        <v>81356</v>
      </c>
    </row>
    <row r="711" spans="2:5" ht="15">
      <c r="B711" s="382" t="s">
        <v>810</v>
      </c>
      <c r="C711" s="391">
        <v>77179</v>
      </c>
      <c r="D711" s="391">
        <v>-10500</v>
      </c>
      <c r="E711" s="391">
        <v>66679</v>
      </c>
    </row>
    <row r="712" spans="2:5" ht="15">
      <c r="B712" s="382" t="s">
        <v>811</v>
      </c>
      <c r="C712" s="391">
        <v>14677</v>
      </c>
      <c r="D712" s="391">
        <v>0</v>
      </c>
      <c r="E712" s="391">
        <v>14677</v>
      </c>
    </row>
    <row r="714" spans="1:5" ht="15.75" customHeight="1">
      <c r="A714" s="435" t="s">
        <v>942</v>
      </c>
      <c r="B714" s="436"/>
      <c r="C714" s="436"/>
      <c r="D714" s="436"/>
      <c r="E714" s="436"/>
    </row>
    <row r="715" spans="2:5" s="394" customFormat="1" ht="14.25">
      <c r="B715" s="389" t="s">
        <v>809</v>
      </c>
      <c r="C715" s="392">
        <v>81783</v>
      </c>
      <c r="D715" s="392">
        <v>-3379</v>
      </c>
      <c r="E715" s="392">
        <v>78404</v>
      </c>
    </row>
    <row r="716" spans="2:5" ht="15">
      <c r="B716" s="382" t="s">
        <v>810</v>
      </c>
      <c r="C716" s="391">
        <v>49159</v>
      </c>
      <c r="D716" s="391">
        <v>-3379</v>
      </c>
      <c r="E716" s="391">
        <v>45780</v>
      </c>
    </row>
    <row r="717" spans="2:5" ht="15">
      <c r="B717" s="382" t="s">
        <v>811</v>
      </c>
      <c r="C717" s="391">
        <v>30058</v>
      </c>
      <c r="D717" s="391">
        <v>0</v>
      </c>
      <c r="E717" s="391">
        <v>30058</v>
      </c>
    </row>
    <row r="718" spans="2:5" ht="15">
      <c r="B718" s="382" t="s">
        <v>813</v>
      </c>
      <c r="C718" s="391">
        <v>2566</v>
      </c>
      <c r="D718" s="391">
        <v>0</v>
      </c>
      <c r="E718" s="391">
        <v>2566</v>
      </c>
    </row>
    <row r="720" spans="1:5" ht="15.75" customHeight="1">
      <c r="A720" s="435" t="s">
        <v>943</v>
      </c>
      <c r="B720" s="436"/>
      <c r="C720" s="436"/>
      <c r="D720" s="436"/>
      <c r="E720" s="436"/>
    </row>
    <row r="721" spans="2:5" s="394" customFormat="1" ht="14.25">
      <c r="B721" s="389" t="s">
        <v>809</v>
      </c>
      <c r="C721" s="392">
        <v>140320</v>
      </c>
      <c r="D721" s="392">
        <v>-6000</v>
      </c>
      <c r="E721" s="392">
        <v>134320</v>
      </c>
    </row>
    <row r="722" spans="2:5" ht="15">
      <c r="B722" s="382" t="s">
        <v>810</v>
      </c>
      <c r="C722" s="391">
        <v>110845</v>
      </c>
      <c r="D722" s="391">
        <v>-6000</v>
      </c>
      <c r="E722" s="391">
        <v>104845</v>
      </c>
    </row>
    <row r="723" spans="2:5" ht="15">
      <c r="B723" s="382" t="s">
        <v>811</v>
      </c>
      <c r="C723" s="391">
        <v>23977</v>
      </c>
      <c r="D723" s="391">
        <v>0</v>
      </c>
      <c r="E723" s="391">
        <v>23977</v>
      </c>
    </row>
    <row r="724" spans="2:5" ht="15">
      <c r="B724" s="382" t="s">
        <v>813</v>
      </c>
      <c r="C724" s="391">
        <v>5498</v>
      </c>
      <c r="D724" s="391">
        <v>0</v>
      </c>
      <c r="E724" s="391">
        <v>5498</v>
      </c>
    </row>
    <row r="726" spans="1:5" ht="15.75" customHeight="1">
      <c r="A726" s="435" t="s">
        <v>944</v>
      </c>
      <c r="B726" s="436"/>
      <c r="C726" s="436"/>
      <c r="D726" s="436"/>
      <c r="E726" s="436"/>
    </row>
    <row r="727" spans="2:5" s="394" customFormat="1" ht="14.25">
      <c r="B727" s="389" t="s">
        <v>809</v>
      </c>
      <c r="C727" s="392">
        <v>65888</v>
      </c>
      <c r="D727" s="392">
        <v>-45400</v>
      </c>
      <c r="E727" s="392">
        <v>20488</v>
      </c>
    </row>
    <row r="728" spans="2:5" ht="15">
      <c r="B728" s="382" t="s">
        <v>810</v>
      </c>
      <c r="C728" s="391">
        <v>50783</v>
      </c>
      <c r="D728" s="391">
        <v>-45400</v>
      </c>
      <c r="E728" s="391">
        <v>5383</v>
      </c>
    </row>
    <row r="729" spans="2:5" ht="15">
      <c r="B729" s="382" t="s">
        <v>811</v>
      </c>
      <c r="C729" s="391">
        <v>15105</v>
      </c>
      <c r="D729" s="391">
        <v>0</v>
      </c>
      <c r="E729" s="391">
        <v>15105</v>
      </c>
    </row>
    <row r="731" spans="1:5" ht="15.75" customHeight="1">
      <c r="A731" s="435" t="s">
        <v>945</v>
      </c>
      <c r="B731" s="436"/>
      <c r="C731" s="436"/>
      <c r="D731" s="436"/>
      <c r="E731" s="436"/>
    </row>
    <row r="732" spans="2:5" s="394" customFormat="1" ht="14.25">
      <c r="B732" s="389" t="s">
        <v>809</v>
      </c>
      <c r="C732" s="392">
        <v>326314</v>
      </c>
      <c r="D732" s="392">
        <v>-6407</v>
      </c>
      <c r="E732" s="392">
        <v>319907</v>
      </c>
    </row>
    <row r="733" spans="2:5" ht="15">
      <c r="B733" s="382" t="s">
        <v>810</v>
      </c>
      <c r="C733" s="391">
        <v>136845</v>
      </c>
      <c r="D733" s="391">
        <v>593</v>
      </c>
      <c r="E733" s="391">
        <v>137438</v>
      </c>
    </row>
    <row r="734" spans="2:5" ht="15">
      <c r="B734" s="382" t="s">
        <v>811</v>
      </c>
      <c r="C734" s="391">
        <v>10728</v>
      </c>
      <c r="D734" s="391">
        <v>1000</v>
      </c>
      <c r="E734" s="391">
        <v>11728</v>
      </c>
    </row>
    <row r="735" spans="2:5" ht="15">
      <c r="B735" s="382" t="s">
        <v>813</v>
      </c>
      <c r="C735" s="391">
        <v>2531</v>
      </c>
      <c r="D735" s="391">
        <v>0</v>
      </c>
      <c r="E735" s="391">
        <v>2531</v>
      </c>
    </row>
    <row r="736" spans="2:5" ht="15">
      <c r="B736" s="382" t="s">
        <v>814</v>
      </c>
      <c r="C736" s="391">
        <v>176210</v>
      </c>
      <c r="D736" s="391">
        <v>-8000</v>
      </c>
      <c r="E736" s="391">
        <v>168210</v>
      </c>
    </row>
    <row r="738" spans="1:5" ht="15.75" customHeight="1">
      <c r="A738" s="435" t="s">
        <v>946</v>
      </c>
      <c r="B738" s="436"/>
      <c r="C738" s="436"/>
      <c r="D738" s="436"/>
      <c r="E738" s="436"/>
    </row>
    <row r="739" spans="2:5" s="394" customFormat="1" ht="14.25">
      <c r="B739" s="389" t="s">
        <v>809</v>
      </c>
      <c r="C739" s="392">
        <v>1102271</v>
      </c>
      <c r="D739" s="392">
        <v>42993</v>
      </c>
      <c r="E739" s="392">
        <v>1145264</v>
      </c>
    </row>
    <row r="740" spans="2:5" ht="15">
      <c r="B740" s="382" t="s">
        <v>814</v>
      </c>
      <c r="C740" s="391">
        <v>1102271</v>
      </c>
      <c r="D740" s="391">
        <v>42993</v>
      </c>
      <c r="E740" s="391">
        <v>1145264</v>
      </c>
    </row>
    <row r="742" spans="1:5" ht="15.75" customHeight="1">
      <c r="A742" s="435" t="s">
        <v>947</v>
      </c>
      <c r="B742" s="436"/>
      <c r="C742" s="436"/>
      <c r="D742" s="436"/>
      <c r="E742" s="436"/>
    </row>
    <row r="743" spans="2:5" s="394" customFormat="1" ht="14.25">
      <c r="B743" s="389" t="s">
        <v>809</v>
      </c>
      <c r="C743" s="392">
        <v>1351836</v>
      </c>
      <c r="D743" s="392">
        <v>74031</v>
      </c>
      <c r="E743" s="392">
        <v>1425867</v>
      </c>
    </row>
    <row r="744" spans="2:5" ht="15">
      <c r="B744" s="382" t="s">
        <v>810</v>
      </c>
      <c r="C744" s="391">
        <v>8139</v>
      </c>
      <c r="D744" s="391">
        <v>0</v>
      </c>
      <c r="E744" s="391">
        <v>8139</v>
      </c>
    </row>
    <row r="745" spans="2:5" ht="15">
      <c r="B745" s="382" t="s">
        <v>811</v>
      </c>
      <c r="C745" s="391">
        <v>4619</v>
      </c>
      <c r="D745" s="391">
        <v>-1150</v>
      </c>
      <c r="E745" s="391">
        <v>3469</v>
      </c>
    </row>
    <row r="746" spans="2:5" ht="15">
      <c r="B746" s="382" t="s">
        <v>814</v>
      </c>
      <c r="C746" s="391">
        <v>1339078</v>
      </c>
      <c r="D746" s="391">
        <v>75181</v>
      </c>
      <c r="E746" s="391">
        <v>1414259</v>
      </c>
    </row>
    <row r="748" spans="1:5" ht="15.75" customHeight="1">
      <c r="A748" s="435" t="s">
        <v>948</v>
      </c>
      <c r="B748" s="436"/>
      <c r="C748" s="436"/>
      <c r="D748" s="436"/>
      <c r="E748" s="436"/>
    </row>
    <row r="749" spans="2:5" s="394" customFormat="1" ht="14.25">
      <c r="B749" s="389" t="s">
        <v>809</v>
      </c>
      <c r="C749" s="392">
        <v>732661</v>
      </c>
      <c r="D749" s="392">
        <v>26600</v>
      </c>
      <c r="E749" s="392">
        <v>759261</v>
      </c>
    </row>
    <row r="750" spans="2:5" ht="15">
      <c r="B750" s="382" t="s">
        <v>814</v>
      </c>
      <c r="C750" s="391">
        <v>732661</v>
      </c>
      <c r="D750" s="391">
        <v>26600</v>
      </c>
      <c r="E750" s="391">
        <v>759261</v>
      </c>
    </row>
    <row r="752" spans="1:5" ht="15.75" customHeight="1">
      <c r="A752" s="435" t="s">
        <v>949</v>
      </c>
      <c r="B752" s="436"/>
      <c r="C752" s="436"/>
      <c r="D752" s="436"/>
      <c r="E752" s="436"/>
    </row>
    <row r="753" spans="2:5" s="394" customFormat="1" ht="14.25">
      <c r="B753" s="389" t="s">
        <v>809</v>
      </c>
      <c r="C753" s="392">
        <v>9528</v>
      </c>
      <c r="D753" s="392">
        <v>1000</v>
      </c>
      <c r="E753" s="392">
        <v>10528</v>
      </c>
    </row>
    <row r="754" spans="2:5" ht="15">
      <c r="B754" s="382" t="s">
        <v>811</v>
      </c>
      <c r="C754" s="391">
        <v>1058</v>
      </c>
      <c r="D754" s="391">
        <v>0</v>
      </c>
      <c r="E754" s="391">
        <v>1058</v>
      </c>
    </row>
    <row r="755" spans="2:5" ht="15">
      <c r="B755" s="382" t="s">
        <v>814</v>
      </c>
      <c r="C755" s="391">
        <v>8470</v>
      </c>
      <c r="D755" s="391">
        <v>1000</v>
      </c>
      <c r="E755" s="391">
        <v>9470</v>
      </c>
    </row>
    <row r="757" spans="1:5" ht="31.5" customHeight="1">
      <c r="A757" s="435" t="s">
        <v>950</v>
      </c>
      <c r="B757" s="436"/>
      <c r="C757" s="436"/>
      <c r="D757" s="436"/>
      <c r="E757" s="436"/>
    </row>
    <row r="758" spans="2:5" s="394" customFormat="1" ht="14.25">
      <c r="B758" s="389" t="s">
        <v>809</v>
      </c>
      <c r="C758" s="392">
        <v>510030</v>
      </c>
      <c r="D758" s="392">
        <v>44470</v>
      </c>
      <c r="E758" s="392">
        <v>554500</v>
      </c>
    </row>
    <row r="759" spans="2:5" ht="15">
      <c r="B759" s="382" t="s">
        <v>814</v>
      </c>
      <c r="C759" s="391">
        <v>510030</v>
      </c>
      <c r="D759" s="391">
        <v>44470</v>
      </c>
      <c r="E759" s="391">
        <v>554500</v>
      </c>
    </row>
    <row r="761" spans="1:5" ht="15.75" customHeight="1">
      <c r="A761" s="435" t="s">
        <v>951</v>
      </c>
      <c r="B761" s="436"/>
      <c r="C761" s="436"/>
      <c r="D761" s="436"/>
      <c r="E761" s="436"/>
    </row>
    <row r="762" spans="2:5" s="394" customFormat="1" ht="14.25">
      <c r="B762" s="389" t="s">
        <v>809</v>
      </c>
      <c r="C762" s="392">
        <v>91293</v>
      </c>
      <c r="D762" s="392">
        <v>-4000</v>
      </c>
      <c r="E762" s="392">
        <v>87293</v>
      </c>
    </row>
    <row r="763" spans="2:5" ht="15">
      <c r="B763" s="382" t="s">
        <v>810</v>
      </c>
      <c r="C763" s="391">
        <v>56054</v>
      </c>
      <c r="D763" s="391">
        <v>-4000</v>
      </c>
      <c r="E763" s="391">
        <v>52054</v>
      </c>
    </row>
    <row r="764" spans="2:5" ht="15">
      <c r="B764" s="382" t="s">
        <v>811</v>
      </c>
      <c r="C764" s="391">
        <v>35239</v>
      </c>
      <c r="D764" s="391">
        <v>0</v>
      </c>
      <c r="E764" s="391">
        <v>35239</v>
      </c>
    </row>
    <row r="766" spans="1:5" ht="15.75" customHeight="1">
      <c r="A766" s="435" t="s">
        <v>952</v>
      </c>
      <c r="B766" s="436"/>
      <c r="C766" s="436"/>
      <c r="D766" s="436"/>
      <c r="E766" s="436"/>
    </row>
    <row r="767" spans="2:5" s="394" customFormat="1" ht="14.25">
      <c r="B767" s="389" t="s">
        <v>809</v>
      </c>
      <c r="C767" s="392">
        <v>32285</v>
      </c>
      <c r="D767" s="392">
        <v>100</v>
      </c>
      <c r="E767" s="392">
        <v>32385</v>
      </c>
    </row>
    <row r="768" spans="2:5" ht="15">
      <c r="B768" s="382" t="s">
        <v>810</v>
      </c>
      <c r="C768" s="391">
        <v>10291</v>
      </c>
      <c r="D768" s="391">
        <v>100</v>
      </c>
      <c r="E768" s="391">
        <v>10391</v>
      </c>
    </row>
    <row r="769" spans="2:5" ht="15">
      <c r="B769" s="382" t="s">
        <v>811</v>
      </c>
      <c r="C769" s="391">
        <v>21994</v>
      </c>
      <c r="D769" s="391">
        <v>0</v>
      </c>
      <c r="E769" s="391">
        <v>21994</v>
      </c>
    </row>
    <row r="771" spans="1:5" ht="15.75" customHeight="1">
      <c r="A771" s="435" t="s">
        <v>953</v>
      </c>
      <c r="B771" s="436"/>
      <c r="C771" s="436"/>
      <c r="D771" s="436"/>
      <c r="E771" s="436"/>
    </row>
    <row r="772" spans="2:5" s="394" customFormat="1" ht="14.25">
      <c r="B772" s="389" t="s">
        <v>809</v>
      </c>
      <c r="C772" s="392">
        <v>263000</v>
      </c>
      <c r="D772" s="392">
        <v>-696</v>
      </c>
      <c r="E772" s="392">
        <v>262304</v>
      </c>
    </row>
    <row r="773" spans="2:5" ht="15">
      <c r="B773" s="382" t="s">
        <v>810</v>
      </c>
      <c r="C773" s="391">
        <v>210850</v>
      </c>
      <c r="D773" s="391">
        <v>451</v>
      </c>
      <c r="E773" s="391">
        <v>211301</v>
      </c>
    </row>
    <row r="774" spans="2:5" ht="15">
      <c r="B774" s="382" t="s">
        <v>811</v>
      </c>
      <c r="C774" s="391">
        <v>51757</v>
      </c>
      <c r="D774" s="391">
        <v>-1147</v>
      </c>
      <c r="E774" s="391">
        <v>50610</v>
      </c>
    </row>
    <row r="775" spans="2:5" ht="15">
      <c r="B775" s="382" t="s">
        <v>814</v>
      </c>
      <c r="C775" s="391">
        <v>393</v>
      </c>
      <c r="D775" s="391">
        <v>0</v>
      </c>
      <c r="E775" s="391">
        <v>393</v>
      </c>
    </row>
    <row r="777" spans="1:5" ht="15.75" customHeight="1">
      <c r="A777" s="435" t="s">
        <v>954</v>
      </c>
      <c r="B777" s="436"/>
      <c r="C777" s="436"/>
      <c r="D777" s="436"/>
      <c r="E777" s="436"/>
    </row>
    <row r="778" spans="2:5" s="394" customFormat="1" ht="14.25">
      <c r="B778" s="389" t="s">
        <v>809</v>
      </c>
      <c r="C778" s="392">
        <v>27538</v>
      </c>
      <c r="D778" s="392">
        <v>-4380</v>
      </c>
      <c r="E778" s="392">
        <v>23158</v>
      </c>
    </row>
    <row r="779" spans="2:5" ht="15">
      <c r="B779" s="382" t="s">
        <v>810</v>
      </c>
      <c r="C779" s="391">
        <v>17045</v>
      </c>
      <c r="D779" s="391">
        <v>-4380</v>
      </c>
      <c r="E779" s="391">
        <v>12665</v>
      </c>
    </row>
    <row r="780" spans="2:5" ht="15">
      <c r="B780" s="382" t="s">
        <v>811</v>
      </c>
      <c r="C780" s="391">
        <v>10493</v>
      </c>
      <c r="D780" s="391">
        <v>0</v>
      </c>
      <c r="E780" s="391">
        <v>10493</v>
      </c>
    </row>
    <row r="782" spans="1:5" ht="15.75" customHeight="1" hidden="1">
      <c r="A782" s="435" t="s">
        <v>955</v>
      </c>
      <c r="B782" s="436"/>
      <c r="C782" s="436"/>
      <c r="D782" s="436"/>
      <c r="E782" s="436"/>
    </row>
    <row r="783" spans="2:5" s="394" customFormat="1" ht="14.25" hidden="1">
      <c r="B783" s="389" t="s">
        <v>809</v>
      </c>
      <c r="C783" s="392">
        <v>0</v>
      </c>
      <c r="D783" s="392">
        <v>0</v>
      </c>
      <c r="E783" s="392">
        <v>0</v>
      </c>
    </row>
    <row r="784" spans="2:5" ht="15" hidden="1">
      <c r="B784" s="382" t="s">
        <v>811</v>
      </c>
      <c r="C784" s="391">
        <v>0</v>
      </c>
      <c r="D784" s="391">
        <v>0</v>
      </c>
      <c r="E784" s="391">
        <v>0</v>
      </c>
    </row>
    <row r="785" ht="12.75" hidden="1"/>
    <row r="786" spans="1:5" ht="15.75" customHeight="1">
      <c r="A786" s="435" t="s">
        <v>956</v>
      </c>
      <c r="B786" s="436"/>
      <c r="C786" s="436"/>
      <c r="D786" s="436"/>
      <c r="E786" s="436"/>
    </row>
    <row r="787" spans="2:5" s="394" customFormat="1" ht="14.25">
      <c r="B787" s="389" t="s">
        <v>809</v>
      </c>
      <c r="C787" s="392">
        <v>1461435</v>
      </c>
      <c r="D787" s="392">
        <v>-97692</v>
      </c>
      <c r="E787" s="392">
        <v>1363743</v>
      </c>
    </row>
    <row r="788" spans="2:5" ht="15">
      <c r="B788" s="382" t="s">
        <v>810</v>
      </c>
      <c r="C788" s="391">
        <v>1288151</v>
      </c>
      <c r="D788" s="391">
        <v>-97692</v>
      </c>
      <c r="E788" s="391">
        <v>1190459</v>
      </c>
    </row>
    <row r="789" spans="2:5" ht="15">
      <c r="B789" s="382" t="s">
        <v>811</v>
      </c>
      <c r="C789" s="391">
        <v>147484</v>
      </c>
      <c r="D789" s="391">
        <v>0</v>
      </c>
      <c r="E789" s="391">
        <v>147484</v>
      </c>
    </row>
    <row r="790" spans="2:5" ht="15">
      <c r="B790" s="382" t="s">
        <v>813</v>
      </c>
      <c r="C790" s="391">
        <v>25800</v>
      </c>
      <c r="D790" s="391">
        <v>0</v>
      </c>
      <c r="E790" s="391">
        <v>25800</v>
      </c>
    </row>
    <row r="792" spans="1:5" ht="15.75" customHeight="1">
      <c r="A792" s="435" t="s">
        <v>957</v>
      </c>
      <c r="B792" s="436"/>
      <c r="C792" s="436"/>
      <c r="D792" s="436"/>
      <c r="E792" s="436"/>
    </row>
    <row r="793" spans="2:5" s="394" customFormat="1" ht="14.25">
      <c r="B793" s="389" t="s">
        <v>809</v>
      </c>
      <c r="C793" s="392">
        <v>265863</v>
      </c>
      <c r="D793" s="392">
        <v>17700</v>
      </c>
      <c r="E793" s="392">
        <v>283563</v>
      </c>
    </row>
    <row r="794" spans="2:5" ht="15">
      <c r="B794" s="382" t="s">
        <v>814</v>
      </c>
      <c r="C794" s="391">
        <v>265863</v>
      </c>
      <c r="D794" s="391">
        <v>17700</v>
      </c>
      <c r="E794" s="391">
        <v>283563</v>
      </c>
    </row>
    <row r="796" spans="1:5" ht="15.75" customHeight="1">
      <c r="A796" s="437" t="s">
        <v>958</v>
      </c>
      <c r="B796" s="436"/>
      <c r="C796" s="436"/>
      <c r="D796" s="436"/>
      <c r="E796" s="436"/>
    </row>
    <row r="797" spans="1:5" ht="14.25">
      <c r="A797" s="395"/>
      <c r="B797" s="396" t="s">
        <v>809</v>
      </c>
      <c r="C797" s="397">
        <v>5513870</v>
      </c>
      <c r="D797" s="397">
        <v>0</v>
      </c>
      <c r="E797" s="397">
        <v>5513870</v>
      </c>
    </row>
    <row r="798" spans="1:5" ht="14.25" hidden="1">
      <c r="A798" s="395"/>
      <c r="B798" s="396"/>
      <c r="C798" s="397"/>
      <c r="D798" s="397"/>
      <c r="E798" s="397"/>
    </row>
    <row r="799" spans="1:5" ht="14.25">
      <c r="A799" s="395"/>
      <c r="B799" s="396" t="s">
        <v>959</v>
      </c>
      <c r="C799" s="397">
        <v>5149586</v>
      </c>
      <c r="D799" s="397">
        <v>0</v>
      </c>
      <c r="E799" s="397">
        <v>5149586</v>
      </c>
    </row>
    <row r="800" spans="1:5" ht="28.5">
      <c r="A800" s="395"/>
      <c r="B800" s="396" t="s">
        <v>960</v>
      </c>
      <c r="C800" s="397">
        <v>359682</v>
      </c>
      <c r="D800" s="397">
        <v>0</v>
      </c>
      <c r="E800" s="397">
        <v>359682</v>
      </c>
    </row>
    <row r="801" spans="1:5" ht="28.5">
      <c r="A801" s="395"/>
      <c r="B801" s="396" t="s">
        <v>961</v>
      </c>
      <c r="C801" s="397">
        <v>4602</v>
      </c>
      <c r="D801" s="397">
        <v>0</v>
      </c>
      <c r="E801" s="397">
        <v>4602</v>
      </c>
    </row>
    <row r="803" spans="1:5" ht="15.75" customHeight="1">
      <c r="A803" s="435" t="s">
        <v>962</v>
      </c>
      <c r="B803" s="436"/>
      <c r="C803" s="436"/>
      <c r="D803" s="436"/>
      <c r="E803" s="436"/>
    </row>
    <row r="804" spans="2:5" s="394" customFormat="1" ht="14.25">
      <c r="B804" s="389" t="s">
        <v>809</v>
      </c>
      <c r="C804" s="392">
        <v>5149586</v>
      </c>
      <c r="D804" s="392">
        <v>0</v>
      </c>
      <c r="E804" s="392">
        <v>5149586</v>
      </c>
    </row>
    <row r="805" spans="2:5" ht="15">
      <c r="B805" s="382" t="s">
        <v>959</v>
      </c>
      <c r="C805" s="391">
        <v>5149586</v>
      </c>
      <c r="D805" s="391">
        <v>0</v>
      </c>
      <c r="E805" s="391">
        <v>5149586</v>
      </c>
    </row>
    <row r="807" spans="1:5" ht="15.75" customHeight="1">
      <c r="A807" s="435" t="s">
        <v>963</v>
      </c>
      <c r="B807" s="436"/>
      <c r="C807" s="436"/>
      <c r="D807" s="436"/>
      <c r="E807" s="436"/>
    </row>
    <row r="808" spans="2:5" s="394" customFormat="1" ht="14.25">
      <c r="B808" s="389" t="s">
        <v>809</v>
      </c>
      <c r="C808" s="392">
        <v>359682</v>
      </c>
      <c r="D808" s="392">
        <v>0</v>
      </c>
      <c r="E808" s="392">
        <v>359682</v>
      </c>
    </row>
    <row r="809" spans="2:5" ht="30">
      <c r="B809" s="382" t="s">
        <v>960</v>
      </c>
      <c r="C809" s="391">
        <v>359682</v>
      </c>
      <c r="D809" s="391">
        <v>0</v>
      </c>
      <c r="E809" s="391">
        <v>359682</v>
      </c>
    </row>
    <row r="811" spans="1:5" ht="15.75" customHeight="1">
      <c r="A811" s="435" t="s">
        <v>465</v>
      </c>
      <c r="B811" s="436"/>
      <c r="C811" s="436"/>
      <c r="D811" s="436"/>
      <c r="E811" s="436"/>
    </row>
    <row r="812" spans="2:5" ht="14.25">
      <c r="B812" s="389" t="s">
        <v>809</v>
      </c>
      <c r="C812" s="392">
        <v>117411609</v>
      </c>
      <c r="D812" s="392">
        <v>-2564656</v>
      </c>
      <c r="E812" s="392">
        <v>114846953</v>
      </c>
    </row>
    <row r="813" spans="2:5" ht="14.25">
      <c r="B813" s="389" t="s">
        <v>810</v>
      </c>
      <c r="C813" s="392">
        <v>43037742</v>
      </c>
      <c r="D813" s="392">
        <v>-207195</v>
      </c>
      <c r="E813" s="392">
        <v>42830547</v>
      </c>
    </row>
    <row r="814" spans="2:5" ht="14.25">
      <c r="B814" s="389" t="s">
        <v>811</v>
      </c>
      <c r="C814" s="392">
        <v>20170641</v>
      </c>
      <c r="D814" s="392">
        <v>169026</v>
      </c>
      <c r="E814" s="392">
        <v>20339667</v>
      </c>
    </row>
    <row r="815" spans="2:5" ht="14.25">
      <c r="B815" s="389" t="s">
        <v>812</v>
      </c>
      <c r="C815" s="392">
        <v>8268048</v>
      </c>
      <c r="D815" s="392">
        <v>-107079</v>
      </c>
      <c r="E815" s="392">
        <v>8160969</v>
      </c>
    </row>
    <row r="816" spans="2:5" ht="14.25">
      <c r="B816" s="389" t="s">
        <v>854</v>
      </c>
      <c r="C816" s="392">
        <v>196698</v>
      </c>
      <c r="D816" s="392">
        <v>0</v>
      </c>
      <c r="E816" s="392">
        <v>196698</v>
      </c>
    </row>
    <row r="817" spans="2:5" ht="14.25">
      <c r="B817" s="389" t="s">
        <v>813</v>
      </c>
      <c r="C817" s="392">
        <v>31958732</v>
      </c>
      <c r="D817" s="392">
        <v>-2443003</v>
      </c>
      <c r="E817" s="392">
        <v>29515729</v>
      </c>
    </row>
    <row r="818" spans="2:5" ht="14.25">
      <c r="B818" s="389" t="s">
        <v>814</v>
      </c>
      <c r="C818" s="392">
        <v>5716562</v>
      </c>
      <c r="D818" s="392">
        <v>-11728</v>
      </c>
      <c r="E818" s="392">
        <v>5704834</v>
      </c>
    </row>
    <row r="819" spans="2:5" ht="28.5">
      <c r="B819" s="389" t="s">
        <v>815</v>
      </c>
      <c r="C819" s="392">
        <v>1883690</v>
      </c>
      <c r="D819" s="392">
        <v>35323</v>
      </c>
      <c r="E819" s="392">
        <v>1919013</v>
      </c>
    </row>
    <row r="820" spans="2:5" ht="14.25">
      <c r="B820" s="389" t="s">
        <v>816</v>
      </c>
      <c r="C820" s="392">
        <v>665626</v>
      </c>
      <c r="D820" s="392">
        <v>0</v>
      </c>
      <c r="E820" s="392">
        <v>665626</v>
      </c>
    </row>
    <row r="821" spans="2:5" ht="14.25">
      <c r="B821" s="389" t="s">
        <v>959</v>
      </c>
      <c r="C821" s="392">
        <v>5149586</v>
      </c>
      <c r="D821" s="392">
        <v>0</v>
      </c>
      <c r="E821" s="392">
        <v>5149586</v>
      </c>
    </row>
    <row r="822" spans="2:5" ht="28.5">
      <c r="B822" s="389" t="s">
        <v>960</v>
      </c>
      <c r="C822" s="392">
        <v>359682</v>
      </c>
      <c r="D822" s="392">
        <v>0</v>
      </c>
      <c r="E822" s="392">
        <v>359682</v>
      </c>
    </row>
    <row r="823" spans="2:5" ht="28.5">
      <c r="B823" s="389" t="s">
        <v>961</v>
      </c>
      <c r="C823" s="392">
        <v>4602</v>
      </c>
      <c r="D823" s="392">
        <v>0</v>
      </c>
      <c r="E823" s="392">
        <v>4602</v>
      </c>
    </row>
    <row r="824" ht="12.75">
      <c r="E824" s="393"/>
    </row>
    <row r="826" spans="1:5" ht="18.75">
      <c r="A826" s="387" t="s">
        <v>150</v>
      </c>
      <c r="B826" s="388"/>
      <c r="C826" s="387"/>
      <c r="D826" s="387"/>
      <c r="E826" s="387" t="s">
        <v>151</v>
      </c>
    </row>
  </sheetData>
  <sheetProtection/>
  <mergeCells count="149">
    <mergeCell ref="A8:E8"/>
    <mergeCell ref="C3:E3"/>
    <mergeCell ref="C4:E4"/>
    <mergeCell ref="A6:E6"/>
    <mergeCell ref="A7:B7"/>
    <mergeCell ref="A43:E43"/>
    <mergeCell ref="A38:E38"/>
    <mergeCell ref="A34:E34"/>
    <mergeCell ref="A29:E29"/>
    <mergeCell ref="A25:E25"/>
    <mergeCell ref="A18:E18"/>
    <mergeCell ref="A76:E76"/>
    <mergeCell ref="A69:E69"/>
    <mergeCell ref="A62:E62"/>
    <mergeCell ref="A58:E58"/>
    <mergeCell ref="A53:E53"/>
    <mergeCell ref="A48:E48"/>
    <mergeCell ref="A107:E107"/>
    <mergeCell ref="A100:E100"/>
    <mergeCell ref="A94:E94"/>
    <mergeCell ref="A89:E89"/>
    <mergeCell ref="A85:E85"/>
    <mergeCell ref="A81:E81"/>
    <mergeCell ref="A137:E137"/>
    <mergeCell ref="A133:E133"/>
    <mergeCell ref="A129:E129"/>
    <mergeCell ref="A122:E122"/>
    <mergeCell ref="A117:E117"/>
    <mergeCell ref="A113:E113"/>
    <mergeCell ref="A163:E163"/>
    <mergeCell ref="A158:E158"/>
    <mergeCell ref="A154:E154"/>
    <mergeCell ref="A149:E149"/>
    <mergeCell ref="A145:E145"/>
    <mergeCell ref="A141:E141"/>
    <mergeCell ref="A192:E192"/>
    <mergeCell ref="A187:E187"/>
    <mergeCell ref="A181:E181"/>
    <mergeCell ref="A176:E176"/>
    <mergeCell ref="A171:E171"/>
    <mergeCell ref="A167:E167"/>
    <mergeCell ref="A223:E223"/>
    <mergeCell ref="A219:E219"/>
    <mergeCell ref="A215:E215"/>
    <mergeCell ref="A210:E210"/>
    <mergeCell ref="A205:E205"/>
    <mergeCell ref="A196:E196"/>
    <mergeCell ref="A247:E247"/>
    <mergeCell ref="A243:E243"/>
    <mergeCell ref="A239:E239"/>
    <mergeCell ref="A235:E235"/>
    <mergeCell ref="A231:E231"/>
    <mergeCell ref="A227:E227"/>
    <mergeCell ref="A271:E271"/>
    <mergeCell ref="A267:E267"/>
    <mergeCell ref="A263:E263"/>
    <mergeCell ref="A259:E259"/>
    <mergeCell ref="A255:E255"/>
    <mergeCell ref="A251:E251"/>
    <mergeCell ref="A308:E308"/>
    <mergeCell ref="A301:E301"/>
    <mergeCell ref="A294:E294"/>
    <mergeCell ref="A287:E287"/>
    <mergeCell ref="A281:E281"/>
    <mergeCell ref="A275:E275"/>
    <mergeCell ref="A347:E347"/>
    <mergeCell ref="A339:E339"/>
    <mergeCell ref="A333:E333"/>
    <mergeCell ref="A327:E327"/>
    <mergeCell ref="A321:E321"/>
    <mergeCell ref="A314:E314"/>
    <mergeCell ref="A375:E375"/>
    <mergeCell ref="A370:E370"/>
    <mergeCell ref="A365:E365"/>
    <mergeCell ref="A361:E361"/>
    <mergeCell ref="A357:E357"/>
    <mergeCell ref="A353:E353"/>
    <mergeCell ref="A415:E415"/>
    <mergeCell ref="A409:E409"/>
    <mergeCell ref="A403:E403"/>
    <mergeCell ref="A394:E394"/>
    <mergeCell ref="A388:E388"/>
    <mergeCell ref="A381:E381"/>
    <mergeCell ref="A455:E455"/>
    <mergeCell ref="A449:E449"/>
    <mergeCell ref="A443:E443"/>
    <mergeCell ref="A436:E436"/>
    <mergeCell ref="A429:E429"/>
    <mergeCell ref="A422:E422"/>
    <mergeCell ref="A495:E495"/>
    <mergeCell ref="A488:E488"/>
    <mergeCell ref="A481:E481"/>
    <mergeCell ref="A472:E472"/>
    <mergeCell ref="A466:E466"/>
    <mergeCell ref="A460:E460"/>
    <mergeCell ref="A532:E532"/>
    <mergeCell ref="A525:E525"/>
    <mergeCell ref="A517:E517"/>
    <mergeCell ref="A510:E510"/>
    <mergeCell ref="A504:E504"/>
    <mergeCell ref="A499:E499"/>
    <mergeCell ref="A575:E575"/>
    <mergeCell ref="A571:E571"/>
    <mergeCell ref="A562:E562"/>
    <mergeCell ref="A556:E556"/>
    <mergeCell ref="A548:E548"/>
    <mergeCell ref="A539:E539"/>
    <mergeCell ref="A619:E619"/>
    <mergeCell ref="A612:E612"/>
    <mergeCell ref="A605:E605"/>
    <mergeCell ref="A598:E598"/>
    <mergeCell ref="A591:E591"/>
    <mergeCell ref="A582:E582"/>
    <mergeCell ref="A658:E658"/>
    <mergeCell ref="A652:E652"/>
    <mergeCell ref="A644:E644"/>
    <mergeCell ref="A637:E637"/>
    <mergeCell ref="A633:E633"/>
    <mergeCell ref="A626:E626"/>
    <mergeCell ref="A689:E689"/>
    <mergeCell ref="A685:E685"/>
    <mergeCell ref="A681:E681"/>
    <mergeCell ref="A674:E674"/>
    <mergeCell ref="A668:E668"/>
    <mergeCell ref="A662:E662"/>
    <mergeCell ref="A720:E720"/>
    <mergeCell ref="A714:E714"/>
    <mergeCell ref="A709:E709"/>
    <mergeCell ref="A704:E704"/>
    <mergeCell ref="A697:E697"/>
    <mergeCell ref="A693:E693"/>
    <mergeCell ref="A752:E752"/>
    <mergeCell ref="A748:E748"/>
    <mergeCell ref="A742:E742"/>
    <mergeCell ref="A738:E738"/>
    <mergeCell ref="A731:E731"/>
    <mergeCell ref="A726:E726"/>
    <mergeCell ref="A782:E782"/>
    <mergeCell ref="A777:E777"/>
    <mergeCell ref="A771:E771"/>
    <mergeCell ref="A766:E766"/>
    <mergeCell ref="A761:E761"/>
    <mergeCell ref="A757:E757"/>
    <mergeCell ref="A811:E811"/>
    <mergeCell ref="A807:E807"/>
    <mergeCell ref="A803:E803"/>
    <mergeCell ref="A796:E796"/>
    <mergeCell ref="A792:E792"/>
    <mergeCell ref="A786:E786"/>
  </mergeCells>
  <printOptions/>
  <pageMargins left="0.7874015748031497" right="0.7874015748031497" top="0.7874015748031497" bottom="0.7874015748031497" header="0.1968503937007874" footer="0.1968503937007874"/>
  <pageSetup fitToHeight="0" fitToWidth="1" horizontalDpi="600" verticalDpi="600" orientation="portrait" pageOrder="overThenDown" paperSize="9" scale="88" r:id="rId1"/>
  <headerFooter>
    <oddFooter>&amp;C&amp;P</oddFooter>
  </headerFooter>
  <rowBreaks count="7" manualBreakCount="7">
    <brk id="47" max="255" man="1"/>
    <brk id="93" max="255" man="1"/>
    <brk id="402" max="255" man="1"/>
    <brk id="471" max="255" man="1"/>
    <brk id="570" max="255" man="1"/>
    <brk id="618" max="255" man="1"/>
    <brk id="7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216"/>
  <sheetViews>
    <sheetView zoomScalePageLayoutView="0" workbookViewId="0" topLeftCell="C1">
      <selection activeCell="G1" sqref="G1"/>
    </sheetView>
  </sheetViews>
  <sheetFormatPr defaultColWidth="9.140625" defaultRowHeight="15"/>
  <cols>
    <col min="1" max="1" width="4.140625" style="162" customWidth="1"/>
    <col min="2" max="2" width="10.140625" style="170" customWidth="1"/>
    <col min="3" max="3" width="49.57421875" style="142" customWidth="1"/>
    <col min="4" max="4" width="5.140625" style="142" customWidth="1"/>
    <col min="5" max="5" width="13.8515625" style="142" customWidth="1"/>
    <col min="6" max="6" width="10.421875" style="137" customWidth="1"/>
    <col min="7" max="7" width="11.8515625" style="100" customWidth="1"/>
    <col min="8" max="9" width="12.421875" style="137" customWidth="1"/>
    <col min="10" max="10" width="11.8515625" style="137" customWidth="1"/>
    <col min="11" max="11" width="12.421875" style="137" customWidth="1"/>
    <col min="12" max="12" width="13.00390625" style="137" customWidth="1"/>
    <col min="13" max="13" width="12.28125" style="137" customWidth="1"/>
    <col min="14" max="17" width="11.140625" style="137" customWidth="1"/>
    <col min="18" max="23" width="11.7109375" style="137" customWidth="1"/>
    <col min="24" max="24" width="13.140625" style="103" customWidth="1"/>
    <col min="25" max="16384" width="9.140625" style="137" customWidth="1"/>
  </cols>
  <sheetData>
    <row r="1" spans="1:12" ht="19.5" customHeight="1">
      <c r="A1" s="168"/>
      <c r="B1" s="169" t="s">
        <v>0</v>
      </c>
      <c r="C1" s="76"/>
      <c r="D1" s="76"/>
      <c r="E1" s="76"/>
      <c r="F1" s="77"/>
      <c r="G1" s="77"/>
      <c r="H1" s="100"/>
      <c r="I1" s="100"/>
      <c r="J1" s="100"/>
      <c r="K1" s="100"/>
      <c r="L1" s="133" t="s">
        <v>710</v>
      </c>
    </row>
    <row r="2" spans="1:12" ht="18.75" customHeight="1">
      <c r="A2" s="168"/>
      <c r="B2" s="169"/>
      <c r="C2" s="76"/>
      <c r="D2" s="76"/>
      <c r="E2" s="76"/>
      <c r="F2" s="77"/>
      <c r="G2" s="77"/>
      <c r="H2" s="100"/>
      <c r="I2" s="100"/>
      <c r="J2" s="100"/>
      <c r="K2" s="100"/>
      <c r="L2" s="153" t="s">
        <v>986</v>
      </c>
    </row>
    <row r="3" spans="1:12" ht="19.5" customHeight="1">
      <c r="A3" s="168"/>
      <c r="B3" s="169"/>
      <c r="C3" s="76"/>
      <c r="D3" s="76"/>
      <c r="E3" s="76"/>
      <c r="F3" s="77"/>
      <c r="G3" s="77"/>
      <c r="H3" s="100"/>
      <c r="I3" s="100"/>
      <c r="J3" s="100"/>
      <c r="K3" s="100"/>
      <c r="L3" s="153" t="s">
        <v>987</v>
      </c>
    </row>
    <row r="4" spans="1:24" ht="18" customHeight="1">
      <c r="A4" s="510" t="s">
        <v>652</v>
      </c>
      <c r="B4" s="510"/>
      <c r="C4" s="510"/>
      <c r="D4" s="510"/>
      <c r="E4" s="510"/>
      <c r="F4" s="510"/>
      <c r="G4" s="510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73"/>
    </row>
    <row r="5" spans="1:24" s="142" customFormat="1" ht="12.75" customHeight="1">
      <c r="A5" s="511" t="s">
        <v>466</v>
      </c>
      <c r="B5" s="513" t="s">
        <v>754</v>
      </c>
      <c r="C5" s="515" t="s">
        <v>467</v>
      </c>
      <c r="D5" s="201"/>
      <c r="E5" s="201" t="s">
        <v>468</v>
      </c>
      <c r="F5" s="201" t="s">
        <v>469</v>
      </c>
      <c r="G5" s="329" t="s">
        <v>470</v>
      </c>
      <c r="H5" s="155"/>
      <c r="I5" s="155"/>
      <c r="J5" s="155"/>
      <c r="K5" s="155"/>
      <c r="L5" s="155"/>
      <c r="M5" s="155"/>
      <c r="N5" s="155"/>
      <c r="O5" s="156"/>
      <c r="P5" s="156"/>
      <c r="Q5" s="156"/>
      <c r="R5" s="156"/>
      <c r="S5" s="156"/>
      <c r="T5" s="156"/>
      <c r="U5" s="156"/>
      <c r="V5" s="156"/>
      <c r="W5" s="156"/>
      <c r="X5" s="157" t="s">
        <v>471</v>
      </c>
    </row>
    <row r="6" spans="1:24" s="142" customFormat="1" ht="12.75">
      <c r="A6" s="512"/>
      <c r="B6" s="514"/>
      <c r="C6" s="516"/>
      <c r="D6" s="202"/>
      <c r="E6" s="202" t="s">
        <v>472</v>
      </c>
      <c r="F6" s="202" t="s">
        <v>473</v>
      </c>
      <c r="G6" s="330" t="s">
        <v>3</v>
      </c>
      <c r="H6" s="158">
        <v>2022</v>
      </c>
      <c r="I6" s="158">
        <f aca="true" t="shared" si="0" ref="I6:V6">SUM(H6+1)</f>
        <v>2023</v>
      </c>
      <c r="J6" s="158">
        <f t="shared" si="0"/>
        <v>2024</v>
      </c>
      <c r="K6" s="158">
        <f t="shared" si="0"/>
        <v>2025</v>
      </c>
      <c r="L6" s="158">
        <f t="shared" si="0"/>
        <v>2026</v>
      </c>
      <c r="M6" s="158">
        <f t="shared" si="0"/>
        <v>2027</v>
      </c>
      <c r="N6" s="158">
        <f t="shared" si="0"/>
        <v>2028</v>
      </c>
      <c r="O6" s="158">
        <f t="shared" si="0"/>
        <v>2029</v>
      </c>
      <c r="P6" s="158">
        <f t="shared" si="0"/>
        <v>2030</v>
      </c>
      <c r="Q6" s="158">
        <f t="shared" si="0"/>
        <v>2031</v>
      </c>
      <c r="R6" s="158">
        <f t="shared" si="0"/>
        <v>2032</v>
      </c>
      <c r="S6" s="158">
        <f t="shared" si="0"/>
        <v>2033</v>
      </c>
      <c r="T6" s="158">
        <f t="shared" si="0"/>
        <v>2034</v>
      </c>
      <c r="U6" s="158">
        <f t="shared" si="0"/>
        <v>2035</v>
      </c>
      <c r="V6" s="158">
        <f t="shared" si="0"/>
        <v>2036</v>
      </c>
      <c r="W6" s="159" t="s">
        <v>711</v>
      </c>
      <c r="X6" s="160" t="s">
        <v>474</v>
      </c>
    </row>
    <row r="7" spans="1:24" s="78" customFormat="1" ht="12.75">
      <c r="A7" s="494">
        <v>1</v>
      </c>
      <c r="B7" s="164" t="s">
        <v>475</v>
      </c>
      <c r="C7" s="446" t="s">
        <v>476</v>
      </c>
      <c r="D7" s="446">
        <v>648</v>
      </c>
      <c r="E7" s="496">
        <v>45201391.5</v>
      </c>
      <c r="F7" s="448" t="s">
        <v>477</v>
      </c>
      <c r="G7" s="335" t="s">
        <v>478</v>
      </c>
      <c r="H7" s="199">
        <v>4563372</v>
      </c>
      <c r="I7" s="288">
        <v>4178496</v>
      </c>
      <c r="J7" s="198">
        <v>3888532</v>
      </c>
      <c r="K7" s="198">
        <v>3795232</v>
      </c>
      <c r="L7" s="198">
        <v>3470364</v>
      </c>
      <c r="M7" s="198">
        <v>1653540</v>
      </c>
      <c r="N7" s="198">
        <v>1134524</v>
      </c>
      <c r="O7" s="198">
        <v>936532</v>
      </c>
      <c r="P7" s="198">
        <v>747604</v>
      </c>
      <c r="Q7" s="198">
        <v>747604</v>
      </c>
      <c r="R7" s="198">
        <v>747604</v>
      </c>
      <c r="S7" s="198">
        <v>725552</v>
      </c>
      <c r="T7" s="198">
        <v>269152</v>
      </c>
      <c r="U7" s="198"/>
      <c r="V7" s="198"/>
      <c r="W7" s="198"/>
      <c r="X7" s="174">
        <f>SUM(H7:W7)</f>
        <v>26858108</v>
      </c>
    </row>
    <row r="8" spans="1:24" s="78" customFormat="1" ht="12.75">
      <c r="A8" s="495"/>
      <c r="B8" s="184" t="s">
        <v>479</v>
      </c>
      <c r="C8" s="447"/>
      <c r="D8" s="447"/>
      <c r="E8" s="497"/>
      <c r="F8" s="449"/>
      <c r="G8" s="336">
        <v>0.01424</v>
      </c>
      <c r="H8" s="310">
        <v>141303.34</v>
      </c>
      <c r="I8" s="289">
        <v>419495</v>
      </c>
      <c r="J8" s="200">
        <v>623945</v>
      </c>
      <c r="K8" s="200">
        <v>276755</v>
      </c>
      <c r="L8" s="200">
        <v>201070</v>
      </c>
      <c r="M8" s="200">
        <v>138055</v>
      </c>
      <c r="N8" s="200">
        <v>104980</v>
      </c>
      <c r="O8" s="200">
        <v>81940</v>
      </c>
      <c r="P8" s="200">
        <v>63530</v>
      </c>
      <c r="Q8" s="200">
        <v>48155</v>
      </c>
      <c r="R8" s="200">
        <v>33090</v>
      </c>
      <c r="S8" s="200">
        <v>17930</v>
      </c>
      <c r="T8" s="200">
        <v>5130</v>
      </c>
      <c r="U8" s="200">
        <v>305</v>
      </c>
      <c r="V8" s="200"/>
      <c r="W8" s="200"/>
      <c r="X8" s="175">
        <f>SUM(H8:W8)</f>
        <v>2155683.34</v>
      </c>
    </row>
    <row r="9" spans="1:24" s="78" customFormat="1" ht="12.75">
      <c r="A9" s="494">
        <v>2</v>
      </c>
      <c r="B9" s="164" t="s">
        <v>475</v>
      </c>
      <c r="C9" s="448" t="s">
        <v>606</v>
      </c>
      <c r="D9" s="448">
        <v>628</v>
      </c>
      <c r="E9" s="496">
        <v>119421</v>
      </c>
      <c r="F9" s="509" t="s">
        <v>480</v>
      </c>
      <c r="G9" s="337" t="s">
        <v>478</v>
      </c>
      <c r="H9" s="338">
        <v>6728</v>
      </c>
      <c r="I9" s="290">
        <v>6728</v>
      </c>
      <c r="J9" s="291">
        <v>6728</v>
      </c>
      <c r="K9" s="291">
        <v>6728</v>
      </c>
      <c r="L9" s="291">
        <v>6728</v>
      </c>
      <c r="M9" s="292">
        <v>6728</v>
      </c>
      <c r="N9" s="291">
        <v>6728</v>
      </c>
      <c r="O9" s="291">
        <v>6728</v>
      </c>
      <c r="P9" s="291">
        <v>6728</v>
      </c>
      <c r="Q9" s="291">
        <v>6728</v>
      </c>
      <c r="R9" s="291">
        <v>6728</v>
      </c>
      <c r="S9" s="291">
        <v>6728</v>
      </c>
      <c r="T9" s="291">
        <v>6728</v>
      </c>
      <c r="U9" s="291">
        <v>1682</v>
      </c>
      <c r="V9" s="291"/>
      <c r="W9" s="291"/>
      <c r="X9" s="174">
        <f aca="true" t="shared" si="1" ref="X9:X70">SUM(H9:W9)</f>
        <v>89146</v>
      </c>
    </row>
    <row r="10" spans="1:24" s="78" customFormat="1" ht="12.75">
      <c r="A10" s="495"/>
      <c r="B10" s="165" t="s">
        <v>481</v>
      </c>
      <c r="C10" s="449"/>
      <c r="D10" s="449"/>
      <c r="E10" s="497"/>
      <c r="F10" s="449"/>
      <c r="G10" s="339">
        <v>0.0025</v>
      </c>
      <c r="H10" s="340">
        <v>223.29</v>
      </c>
      <c r="I10" s="293">
        <v>2195</v>
      </c>
      <c r="J10" s="294">
        <v>2660</v>
      </c>
      <c r="K10" s="294">
        <v>1380</v>
      </c>
      <c r="L10" s="294">
        <v>1245</v>
      </c>
      <c r="M10" s="295">
        <v>1105</v>
      </c>
      <c r="N10" s="294">
        <v>970</v>
      </c>
      <c r="O10" s="294">
        <v>835</v>
      </c>
      <c r="P10" s="294">
        <v>695</v>
      </c>
      <c r="Q10" s="294">
        <v>560</v>
      </c>
      <c r="R10" s="294">
        <v>425</v>
      </c>
      <c r="S10" s="294">
        <v>285</v>
      </c>
      <c r="T10" s="294">
        <v>150</v>
      </c>
      <c r="U10" s="294">
        <v>25</v>
      </c>
      <c r="V10" s="294"/>
      <c r="W10" s="294"/>
      <c r="X10" s="175">
        <f t="shared" si="1"/>
        <v>12753.29</v>
      </c>
    </row>
    <row r="11" spans="1:24" s="78" customFormat="1" ht="12.75">
      <c r="A11" s="494">
        <v>3</v>
      </c>
      <c r="B11" s="164" t="s">
        <v>475</v>
      </c>
      <c r="C11" s="448" t="s">
        <v>607</v>
      </c>
      <c r="D11" s="448">
        <v>629</v>
      </c>
      <c r="E11" s="496">
        <v>463710</v>
      </c>
      <c r="F11" s="448" t="s">
        <v>482</v>
      </c>
      <c r="G11" s="337" t="s">
        <v>478</v>
      </c>
      <c r="H11" s="297">
        <v>25412</v>
      </c>
      <c r="I11" s="296">
        <v>25412</v>
      </c>
      <c r="J11" s="297">
        <v>25412</v>
      </c>
      <c r="K11" s="297">
        <v>25412</v>
      </c>
      <c r="L11" s="297">
        <v>25412</v>
      </c>
      <c r="M11" s="236">
        <v>25412</v>
      </c>
      <c r="N11" s="297">
        <v>25412</v>
      </c>
      <c r="O11" s="297">
        <v>25412</v>
      </c>
      <c r="P11" s="297">
        <v>25412</v>
      </c>
      <c r="Q11" s="297">
        <v>25412</v>
      </c>
      <c r="R11" s="297">
        <v>25412</v>
      </c>
      <c r="S11" s="297">
        <v>25412</v>
      </c>
      <c r="T11" s="297">
        <v>25412</v>
      </c>
      <c r="U11" s="297">
        <v>6353</v>
      </c>
      <c r="V11" s="297"/>
      <c r="W11" s="297"/>
      <c r="X11" s="174">
        <f t="shared" si="1"/>
        <v>336709</v>
      </c>
    </row>
    <row r="12" spans="1:24" s="78" customFormat="1" ht="12.75">
      <c r="A12" s="495"/>
      <c r="B12" s="165" t="s">
        <v>483</v>
      </c>
      <c r="C12" s="449"/>
      <c r="D12" s="449"/>
      <c r="E12" s="497"/>
      <c r="F12" s="449"/>
      <c r="G12" s="339">
        <v>0.0025</v>
      </c>
      <c r="H12" s="341">
        <v>843.4</v>
      </c>
      <c r="I12" s="293">
        <v>8280</v>
      </c>
      <c r="J12" s="294">
        <v>10035</v>
      </c>
      <c r="K12" s="294">
        <v>5205</v>
      </c>
      <c r="L12" s="294">
        <v>4690</v>
      </c>
      <c r="M12" s="295">
        <v>4175</v>
      </c>
      <c r="N12" s="294">
        <v>3670</v>
      </c>
      <c r="O12" s="294">
        <v>3145</v>
      </c>
      <c r="P12" s="294">
        <v>2630</v>
      </c>
      <c r="Q12" s="294">
        <v>2115</v>
      </c>
      <c r="R12" s="294">
        <v>1600</v>
      </c>
      <c r="S12" s="294">
        <v>1080</v>
      </c>
      <c r="T12" s="294">
        <v>565</v>
      </c>
      <c r="U12" s="294">
        <v>90</v>
      </c>
      <c r="V12" s="294"/>
      <c r="W12" s="294"/>
      <c r="X12" s="175">
        <f t="shared" si="1"/>
        <v>48123.4</v>
      </c>
    </row>
    <row r="13" spans="1:24" s="154" customFormat="1" ht="12.75">
      <c r="A13" s="494">
        <v>4</v>
      </c>
      <c r="B13" s="164" t="s">
        <v>475</v>
      </c>
      <c r="C13" s="448" t="s">
        <v>608</v>
      </c>
      <c r="D13" s="448">
        <v>630</v>
      </c>
      <c r="E13" s="496">
        <v>162998</v>
      </c>
      <c r="F13" s="448" t="s">
        <v>484</v>
      </c>
      <c r="G13" s="337" t="s">
        <v>478</v>
      </c>
      <c r="H13" s="342">
        <v>6976</v>
      </c>
      <c r="I13" s="298">
        <v>6976</v>
      </c>
      <c r="J13" s="299">
        <v>6976</v>
      </c>
      <c r="K13" s="299">
        <v>6976</v>
      </c>
      <c r="L13" s="299">
        <v>6976</v>
      </c>
      <c r="M13" s="299">
        <v>6976</v>
      </c>
      <c r="N13" s="299">
        <v>6976</v>
      </c>
      <c r="O13" s="299">
        <v>6976</v>
      </c>
      <c r="P13" s="299">
        <v>6976</v>
      </c>
      <c r="Q13" s="299">
        <v>6976</v>
      </c>
      <c r="R13" s="299">
        <v>6976</v>
      </c>
      <c r="S13" s="299">
        <v>6976</v>
      </c>
      <c r="T13" s="299">
        <v>6976</v>
      </c>
      <c r="U13" s="299">
        <v>3488</v>
      </c>
      <c r="V13" s="299"/>
      <c r="W13" s="299"/>
      <c r="X13" s="174">
        <f t="shared" si="1"/>
        <v>94176</v>
      </c>
    </row>
    <row r="14" spans="1:24" s="78" customFormat="1" ht="12.75">
      <c r="A14" s="495"/>
      <c r="B14" s="165" t="s">
        <v>485</v>
      </c>
      <c r="C14" s="449"/>
      <c r="D14" s="449"/>
      <c r="E14" s="497"/>
      <c r="F14" s="449"/>
      <c r="G14" s="336">
        <v>0.00734</v>
      </c>
      <c r="H14" s="343">
        <v>401.04</v>
      </c>
      <c r="I14" s="300">
        <v>1830</v>
      </c>
      <c r="J14" s="301">
        <v>2820</v>
      </c>
      <c r="K14" s="301">
        <v>1465</v>
      </c>
      <c r="L14" s="301">
        <v>1325</v>
      </c>
      <c r="M14" s="301">
        <v>1185</v>
      </c>
      <c r="N14" s="301">
        <v>1045</v>
      </c>
      <c r="O14" s="301">
        <v>900</v>
      </c>
      <c r="P14" s="301">
        <v>760</v>
      </c>
      <c r="Q14" s="301">
        <v>615</v>
      </c>
      <c r="R14" s="301">
        <v>475</v>
      </c>
      <c r="S14" s="301">
        <v>335</v>
      </c>
      <c r="T14" s="301">
        <v>190</v>
      </c>
      <c r="U14" s="301">
        <v>50</v>
      </c>
      <c r="V14" s="301"/>
      <c r="W14" s="301"/>
      <c r="X14" s="175">
        <f t="shared" si="1"/>
        <v>13396.04</v>
      </c>
    </row>
    <row r="15" spans="1:24" s="78" customFormat="1" ht="12.75">
      <c r="A15" s="494">
        <v>5</v>
      </c>
      <c r="B15" s="164" t="s">
        <v>486</v>
      </c>
      <c r="C15" s="448" t="s">
        <v>609</v>
      </c>
      <c r="D15" s="448">
        <v>631</v>
      </c>
      <c r="E15" s="496">
        <f>89504-0.24</f>
        <v>89503.76</v>
      </c>
      <c r="F15" s="448" t="s">
        <v>487</v>
      </c>
      <c r="G15" s="337" t="s">
        <v>478</v>
      </c>
      <c r="H15" s="303">
        <v>5116</v>
      </c>
      <c r="I15" s="302">
        <v>5116</v>
      </c>
      <c r="J15" s="303">
        <v>5116</v>
      </c>
      <c r="K15" s="303">
        <v>5116</v>
      </c>
      <c r="L15" s="303">
        <v>5116</v>
      </c>
      <c r="M15" s="303">
        <v>5116</v>
      </c>
      <c r="N15" s="303">
        <v>5116</v>
      </c>
      <c r="O15" s="303">
        <v>5116</v>
      </c>
      <c r="P15" s="303">
        <v>5116</v>
      </c>
      <c r="Q15" s="303">
        <v>5116</v>
      </c>
      <c r="R15" s="303">
        <v>5116</v>
      </c>
      <c r="S15" s="303">
        <f>5116</f>
        <v>5116</v>
      </c>
      <c r="T15" s="303">
        <v>5116</v>
      </c>
      <c r="U15" s="303">
        <v>2557.76</v>
      </c>
      <c r="V15" s="303"/>
      <c r="W15" s="303"/>
      <c r="X15" s="174">
        <f t="shared" si="1"/>
        <v>69065.76</v>
      </c>
    </row>
    <row r="16" spans="1:24" s="78" customFormat="1" ht="12.75">
      <c r="A16" s="495"/>
      <c r="B16" s="165" t="s">
        <v>488</v>
      </c>
      <c r="C16" s="449"/>
      <c r="D16" s="449"/>
      <c r="E16" s="497"/>
      <c r="F16" s="449"/>
      <c r="G16" s="336">
        <v>0.01548</v>
      </c>
      <c r="H16" s="344">
        <v>426.86</v>
      </c>
      <c r="I16" s="300">
        <v>1610</v>
      </c>
      <c r="J16" s="301">
        <v>2065</v>
      </c>
      <c r="K16" s="301">
        <v>1075</v>
      </c>
      <c r="L16" s="301">
        <v>970</v>
      </c>
      <c r="M16" s="301">
        <v>870</v>
      </c>
      <c r="N16" s="301">
        <v>765</v>
      </c>
      <c r="O16" s="301">
        <v>660</v>
      </c>
      <c r="P16" s="301">
        <v>555</v>
      </c>
      <c r="Q16" s="301">
        <v>450</v>
      </c>
      <c r="R16" s="301">
        <v>350</v>
      </c>
      <c r="S16" s="301">
        <v>245</v>
      </c>
      <c r="T16" s="301">
        <v>140</v>
      </c>
      <c r="U16" s="301">
        <v>40</v>
      </c>
      <c r="V16" s="301"/>
      <c r="W16" s="301"/>
      <c r="X16" s="175">
        <f t="shared" si="1"/>
        <v>10221.86</v>
      </c>
    </row>
    <row r="17" spans="1:24" s="78" customFormat="1" ht="12.75">
      <c r="A17" s="494">
        <v>6</v>
      </c>
      <c r="B17" s="164" t="s">
        <v>475</v>
      </c>
      <c r="C17" s="448" t="s">
        <v>610</v>
      </c>
      <c r="D17" s="448">
        <v>632</v>
      </c>
      <c r="E17" s="496">
        <v>1331708.19</v>
      </c>
      <c r="F17" s="448" t="s">
        <v>489</v>
      </c>
      <c r="G17" s="337" t="s">
        <v>478</v>
      </c>
      <c r="H17" s="345">
        <v>20000</v>
      </c>
      <c r="I17" s="290">
        <v>20000</v>
      </c>
      <c r="J17" s="291">
        <v>20000</v>
      </c>
      <c r="K17" s="291">
        <v>20000</v>
      </c>
      <c r="L17" s="291">
        <v>50000</v>
      </c>
      <c r="M17" s="292">
        <v>79000</v>
      </c>
      <c r="N17" s="291">
        <v>79000</v>
      </c>
      <c r="O17" s="291">
        <v>79000</v>
      </c>
      <c r="P17" s="291">
        <v>79000</v>
      </c>
      <c r="Q17" s="291">
        <v>79000</v>
      </c>
      <c r="R17" s="297">
        <v>79000</v>
      </c>
      <c r="S17" s="297">
        <f>79000</f>
        <v>79000</v>
      </c>
      <c r="T17" s="297">
        <v>79000</v>
      </c>
      <c r="U17" s="297">
        <v>59250</v>
      </c>
      <c r="V17" s="297"/>
      <c r="W17" s="297"/>
      <c r="X17" s="174">
        <f t="shared" si="1"/>
        <v>821250</v>
      </c>
    </row>
    <row r="18" spans="1:24" s="78" customFormat="1" ht="12.75">
      <c r="A18" s="495"/>
      <c r="B18" s="165" t="s">
        <v>490</v>
      </c>
      <c r="C18" s="449"/>
      <c r="D18" s="449"/>
      <c r="E18" s="497"/>
      <c r="F18" s="449"/>
      <c r="G18" s="336">
        <v>0.02875</v>
      </c>
      <c r="H18" s="341">
        <v>2130.3</v>
      </c>
      <c r="I18" s="293">
        <v>23270</v>
      </c>
      <c r="J18" s="294">
        <v>27695</v>
      </c>
      <c r="K18" s="294">
        <v>15375</v>
      </c>
      <c r="L18" s="294">
        <v>14845</v>
      </c>
      <c r="M18" s="295">
        <v>13740</v>
      </c>
      <c r="N18" s="294">
        <v>12205</v>
      </c>
      <c r="O18" s="294">
        <v>10570</v>
      </c>
      <c r="P18" s="294">
        <v>8965</v>
      </c>
      <c r="Q18" s="294">
        <v>7365</v>
      </c>
      <c r="R18" s="294">
        <v>5780</v>
      </c>
      <c r="S18" s="294">
        <v>4160</v>
      </c>
      <c r="T18" s="294">
        <v>2560</v>
      </c>
      <c r="U18" s="294">
        <v>955</v>
      </c>
      <c r="V18" s="294"/>
      <c r="W18" s="294"/>
      <c r="X18" s="175">
        <f t="shared" si="1"/>
        <v>149615.3</v>
      </c>
    </row>
    <row r="19" spans="1:24" s="78" customFormat="1" ht="12.75">
      <c r="A19" s="494">
        <v>7</v>
      </c>
      <c r="B19" s="164" t="s">
        <v>475</v>
      </c>
      <c r="C19" s="508" t="s">
        <v>371</v>
      </c>
      <c r="D19" s="448">
        <v>633</v>
      </c>
      <c r="E19" s="501">
        <f>8339124-3412924+1558975</f>
        <v>6485175</v>
      </c>
      <c r="F19" s="448" t="s">
        <v>491</v>
      </c>
      <c r="G19" s="337" t="s">
        <v>478</v>
      </c>
      <c r="H19" s="306">
        <v>5000</v>
      </c>
      <c r="I19" s="305">
        <v>5000</v>
      </c>
      <c r="J19" s="304">
        <v>8000</v>
      </c>
      <c r="K19" s="304">
        <v>20000</v>
      </c>
      <c r="L19" s="304">
        <v>60000</v>
      </c>
      <c r="M19" s="304">
        <v>238000</v>
      </c>
      <c r="N19" s="304">
        <v>238000</v>
      </c>
      <c r="O19" s="304">
        <v>304544</v>
      </c>
      <c r="P19" s="304">
        <v>304544</v>
      </c>
      <c r="Q19" s="304">
        <v>304544</v>
      </c>
      <c r="R19" s="304">
        <v>304544</v>
      </c>
      <c r="S19" s="304">
        <v>304544</v>
      </c>
      <c r="T19" s="304">
        <v>304544</v>
      </c>
      <c r="U19" s="304">
        <v>304544</v>
      </c>
      <c r="V19" s="304">
        <v>304544</v>
      </c>
      <c r="W19" s="306">
        <f>304544+2805974.29</f>
        <v>3110518.29</v>
      </c>
      <c r="X19" s="174">
        <f>SUM(H19:W19)</f>
        <v>6120870.29</v>
      </c>
    </row>
    <row r="20" spans="1:24" s="78" customFormat="1" ht="12.75">
      <c r="A20" s="495"/>
      <c r="B20" s="165" t="s">
        <v>492</v>
      </c>
      <c r="C20" s="447"/>
      <c r="D20" s="449"/>
      <c r="E20" s="502"/>
      <c r="F20" s="449"/>
      <c r="G20" s="336">
        <v>0.00949</v>
      </c>
      <c r="H20" s="346">
        <v>29174</v>
      </c>
      <c r="I20" s="308">
        <v>153660</v>
      </c>
      <c r="J20" s="307">
        <v>248455</v>
      </c>
      <c r="K20" s="307">
        <v>123680</v>
      </c>
      <c r="L20" s="307">
        <v>123115</v>
      </c>
      <c r="M20" s="307">
        <v>121190</v>
      </c>
      <c r="N20" s="307">
        <v>116885</v>
      </c>
      <c r="O20" s="307">
        <v>111455</v>
      </c>
      <c r="P20" s="307">
        <v>105355</v>
      </c>
      <c r="Q20" s="307">
        <v>99175</v>
      </c>
      <c r="R20" s="307">
        <v>93260</v>
      </c>
      <c r="S20" s="307">
        <v>86825</v>
      </c>
      <c r="T20" s="307">
        <v>80650</v>
      </c>
      <c r="U20" s="307">
        <v>74475</v>
      </c>
      <c r="V20" s="307">
        <v>68490</v>
      </c>
      <c r="W20" s="307">
        <f>62125+282350</f>
        <v>344475</v>
      </c>
      <c r="X20" s="175">
        <f t="shared" si="1"/>
        <v>1980319</v>
      </c>
    </row>
    <row r="21" spans="1:24" s="78" customFormat="1" ht="12.75">
      <c r="A21" s="494">
        <v>8</v>
      </c>
      <c r="B21" s="164" t="s">
        <v>475</v>
      </c>
      <c r="C21" s="508" t="s">
        <v>611</v>
      </c>
      <c r="D21" s="448">
        <v>634</v>
      </c>
      <c r="E21" s="496">
        <f>206622-0.62</f>
        <v>206621.38</v>
      </c>
      <c r="F21" s="448" t="s">
        <v>493</v>
      </c>
      <c r="G21" s="337" t="s">
        <v>478</v>
      </c>
      <c r="H21" s="306">
        <v>13640</v>
      </c>
      <c r="I21" s="305">
        <v>13640</v>
      </c>
      <c r="J21" s="304">
        <v>13640</v>
      </c>
      <c r="K21" s="304">
        <v>13640</v>
      </c>
      <c r="L21" s="304">
        <v>13640</v>
      </c>
      <c r="M21" s="304">
        <v>13640</v>
      </c>
      <c r="N21" s="304">
        <v>13640</v>
      </c>
      <c r="O21" s="304">
        <v>13640</v>
      </c>
      <c r="P21" s="304">
        <v>13640</v>
      </c>
      <c r="Q21" s="304">
        <v>13640</v>
      </c>
      <c r="R21" s="304">
        <v>13640</v>
      </c>
      <c r="S21" s="304">
        <v>13640</v>
      </c>
      <c r="T21" s="304">
        <v>13640</v>
      </c>
      <c r="U21" s="304">
        <v>13640</v>
      </c>
      <c r="V21" s="306">
        <v>13661.38</v>
      </c>
      <c r="W21" s="306"/>
      <c r="X21" s="174">
        <f t="shared" si="1"/>
        <v>204621.38</v>
      </c>
    </row>
    <row r="22" spans="1:24" s="78" customFormat="1" ht="12.75">
      <c r="A22" s="495"/>
      <c r="B22" s="165" t="s">
        <v>494</v>
      </c>
      <c r="C22" s="447"/>
      <c r="D22" s="449"/>
      <c r="E22" s="497"/>
      <c r="F22" s="449"/>
      <c r="G22" s="336">
        <v>0.00949</v>
      </c>
      <c r="H22" s="346">
        <v>953.24</v>
      </c>
      <c r="I22" s="308">
        <v>4225</v>
      </c>
      <c r="J22" s="307">
        <v>6240</v>
      </c>
      <c r="K22" s="307">
        <v>3280</v>
      </c>
      <c r="L22" s="307">
        <v>3000</v>
      </c>
      <c r="M22" s="307">
        <v>2725</v>
      </c>
      <c r="N22" s="307">
        <v>2455</v>
      </c>
      <c r="O22" s="307">
        <v>2175</v>
      </c>
      <c r="P22" s="307">
        <v>1895</v>
      </c>
      <c r="Q22" s="307">
        <v>1620</v>
      </c>
      <c r="R22" s="307">
        <v>1345</v>
      </c>
      <c r="S22" s="307">
        <v>1065</v>
      </c>
      <c r="T22" s="307">
        <v>790</v>
      </c>
      <c r="U22" s="307">
        <v>515</v>
      </c>
      <c r="V22" s="307">
        <v>235</v>
      </c>
      <c r="W22" s="307">
        <v>15</v>
      </c>
      <c r="X22" s="175">
        <f t="shared" si="1"/>
        <v>32533.239999999998</v>
      </c>
    </row>
    <row r="23" spans="1:24" s="78" customFormat="1" ht="12.75">
      <c r="A23" s="494">
        <v>9</v>
      </c>
      <c r="B23" s="164" t="s">
        <v>475</v>
      </c>
      <c r="C23" s="446" t="s">
        <v>612</v>
      </c>
      <c r="D23" s="448">
        <v>635</v>
      </c>
      <c r="E23" s="496">
        <v>307624.96</v>
      </c>
      <c r="F23" s="448" t="s">
        <v>495</v>
      </c>
      <c r="G23" s="337" t="s">
        <v>478</v>
      </c>
      <c r="H23" s="338">
        <v>5000</v>
      </c>
      <c r="I23" s="290">
        <v>5000</v>
      </c>
      <c r="J23" s="291">
        <v>10000</v>
      </c>
      <c r="K23" s="291">
        <v>23824</v>
      </c>
      <c r="L23" s="291">
        <v>23824</v>
      </c>
      <c r="M23" s="292">
        <v>23824</v>
      </c>
      <c r="N23" s="291">
        <v>23824</v>
      </c>
      <c r="O23" s="291">
        <v>23824</v>
      </c>
      <c r="P23" s="291">
        <v>23824</v>
      </c>
      <c r="Q23" s="291">
        <v>23824</v>
      </c>
      <c r="R23" s="297">
        <v>23824</v>
      </c>
      <c r="S23" s="297">
        <f>23824</f>
        <v>23824</v>
      </c>
      <c r="T23" s="297">
        <v>23824</v>
      </c>
      <c r="U23" s="297">
        <v>23824</v>
      </c>
      <c r="V23" s="297">
        <v>23810.96</v>
      </c>
      <c r="W23" s="297"/>
      <c r="X23" s="174">
        <f t="shared" si="1"/>
        <v>305874.96</v>
      </c>
    </row>
    <row r="24" spans="1:24" s="78" customFormat="1" ht="12.75">
      <c r="A24" s="495"/>
      <c r="B24" s="165" t="s">
        <v>496</v>
      </c>
      <c r="C24" s="447"/>
      <c r="D24" s="449"/>
      <c r="E24" s="497"/>
      <c r="F24" s="449"/>
      <c r="G24" s="336">
        <v>0.015</v>
      </c>
      <c r="H24" s="340">
        <v>1751.94</v>
      </c>
      <c r="I24" s="293">
        <v>6090</v>
      </c>
      <c r="J24" s="294">
        <v>10465</v>
      </c>
      <c r="K24" s="294">
        <v>5710</v>
      </c>
      <c r="L24" s="294">
        <v>5240</v>
      </c>
      <c r="M24" s="295">
        <v>4760</v>
      </c>
      <c r="N24" s="294">
        <v>4285</v>
      </c>
      <c r="O24" s="294">
        <v>3790</v>
      </c>
      <c r="P24" s="294">
        <v>3310</v>
      </c>
      <c r="Q24" s="294">
        <v>2825</v>
      </c>
      <c r="R24" s="294">
        <v>2350</v>
      </c>
      <c r="S24" s="294">
        <v>1860</v>
      </c>
      <c r="T24" s="294">
        <v>1375</v>
      </c>
      <c r="U24" s="294">
        <v>895</v>
      </c>
      <c r="V24" s="294">
        <v>410</v>
      </c>
      <c r="W24" s="294">
        <v>30</v>
      </c>
      <c r="X24" s="175">
        <f t="shared" si="1"/>
        <v>55146.94</v>
      </c>
    </row>
    <row r="25" spans="1:24" s="78" customFormat="1" ht="12.75">
      <c r="A25" s="494">
        <v>10</v>
      </c>
      <c r="B25" s="164" t="s">
        <v>475</v>
      </c>
      <c r="C25" s="446" t="s">
        <v>613</v>
      </c>
      <c r="D25" s="448">
        <v>636</v>
      </c>
      <c r="E25" s="496">
        <v>69989</v>
      </c>
      <c r="F25" s="448" t="s">
        <v>495</v>
      </c>
      <c r="G25" s="337" t="s">
        <v>478</v>
      </c>
      <c r="H25" s="297">
        <v>1000</v>
      </c>
      <c r="I25" s="290">
        <v>2000</v>
      </c>
      <c r="J25" s="291">
        <v>2000</v>
      </c>
      <c r="K25" s="291">
        <v>5000</v>
      </c>
      <c r="L25" s="291">
        <v>5272</v>
      </c>
      <c r="M25" s="292">
        <v>5272</v>
      </c>
      <c r="N25" s="291">
        <v>5272</v>
      </c>
      <c r="O25" s="291">
        <v>5272</v>
      </c>
      <c r="P25" s="291">
        <v>5272</v>
      </c>
      <c r="Q25" s="291">
        <v>5272</v>
      </c>
      <c r="R25" s="291">
        <v>5272</v>
      </c>
      <c r="S25" s="291">
        <v>5272</v>
      </c>
      <c r="T25" s="291">
        <v>5272</v>
      </c>
      <c r="U25" s="291">
        <v>5272</v>
      </c>
      <c r="V25" s="291">
        <v>5269</v>
      </c>
      <c r="W25" s="291"/>
      <c r="X25" s="174">
        <f t="shared" si="1"/>
        <v>67989</v>
      </c>
    </row>
    <row r="26" spans="1:24" s="78" customFormat="1" ht="12.75">
      <c r="A26" s="495"/>
      <c r="B26" s="165" t="s">
        <v>497</v>
      </c>
      <c r="C26" s="447"/>
      <c r="D26" s="449"/>
      <c r="E26" s="497"/>
      <c r="F26" s="449"/>
      <c r="G26" s="336">
        <v>0.015</v>
      </c>
      <c r="H26" s="341">
        <v>389.77</v>
      </c>
      <c r="I26" s="293">
        <v>1355</v>
      </c>
      <c r="J26" s="294">
        <v>2305</v>
      </c>
      <c r="K26" s="294">
        <v>1260</v>
      </c>
      <c r="L26" s="294">
        <v>1160</v>
      </c>
      <c r="M26" s="295">
        <v>1055</v>
      </c>
      <c r="N26" s="294">
        <v>950</v>
      </c>
      <c r="O26" s="294">
        <v>840</v>
      </c>
      <c r="P26" s="294">
        <v>735</v>
      </c>
      <c r="Q26" s="294">
        <v>625</v>
      </c>
      <c r="R26" s="294">
        <v>520</v>
      </c>
      <c r="S26" s="294">
        <v>415</v>
      </c>
      <c r="T26" s="294">
        <v>305</v>
      </c>
      <c r="U26" s="294">
        <v>200</v>
      </c>
      <c r="V26" s="294">
        <v>90</v>
      </c>
      <c r="W26" s="294">
        <v>10</v>
      </c>
      <c r="X26" s="175">
        <f t="shared" si="1"/>
        <v>12214.77</v>
      </c>
    </row>
    <row r="27" spans="1:24" s="78" customFormat="1" ht="12.75">
      <c r="A27" s="494">
        <v>11</v>
      </c>
      <c r="B27" s="164" t="s">
        <v>475</v>
      </c>
      <c r="C27" s="446" t="s">
        <v>614</v>
      </c>
      <c r="D27" s="446">
        <v>637</v>
      </c>
      <c r="E27" s="496">
        <v>212555.77</v>
      </c>
      <c r="F27" s="448" t="s">
        <v>498</v>
      </c>
      <c r="G27" s="335" t="s">
        <v>478</v>
      </c>
      <c r="H27" s="347">
        <v>1000</v>
      </c>
      <c r="I27" s="305">
        <v>2000</v>
      </c>
      <c r="J27" s="304">
        <v>2000</v>
      </c>
      <c r="K27" s="304">
        <v>2000</v>
      </c>
      <c r="L27" s="304">
        <v>5000</v>
      </c>
      <c r="M27" s="304">
        <v>19920</v>
      </c>
      <c r="N27" s="304">
        <v>19920</v>
      </c>
      <c r="O27" s="304">
        <v>19920</v>
      </c>
      <c r="P27" s="304">
        <v>19920</v>
      </c>
      <c r="Q27" s="304">
        <v>19920</v>
      </c>
      <c r="R27" s="306">
        <v>19920</v>
      </c>
      <c r="S27" s="306">
        <v>19920</v>
      </c>
      <c r="T27" s="306">
        <v>19920</v>
      </c>
      <c r="U27" s="306">
        <v>19920</v>
      </c>
      <c r="V27" s="306">
        <v>19525.77</v>
      </c>
      <c r="W27" s="306"/>
      <c r="X27" s="174">
        <f t="shared" si="1"/>
        <v>210805.77</v>
      </c>
    </row>
    <row r="28" spans="1:24" s="78" customFormat="1" ht="12.75">
      <c r="A28" s="495"/>
      <c r="B28" s="165" t="s">
        <v>499</v>
      </c>
      <c r="C28" s="447"/>
      <c r="D28" s="447"/>
      <c r="E28" s="497"/>
      <c r="F28" s="449"/>
      <c r="G28" s="336">
        <v>0.01572</v>
      </c>
      <c r="H28" s="348">
        <v>950.88</v>
      </c>
      <c r="I28" s="308">
        <v>4370</v>
      </c>
      <c r="J28" s="307">
        <v>7385</v>
      </c>
      <c r="K28" s="307">
        <v>4170</v>
      </c>
      <c r="L28" s="307">
        <v>4115</v>
      </c>
      <c r="M28" s="307">
        <v>3955</v>
      </c>
      <c r="N28" s="307">
        <v>3575</v>
      </c>
      <c r="O28" s="307">
        <v>3165</v>
      </c>
      <c r="P28" s="307">
        <v>2760</v>
      </c>
      <c r="Q28" s="307">
        <v>2355</v>
      </c>
      <c r="R28" s="307">
        <v>1955</v>
      </c>
      <c r="S28" s="307">
        <v>1550</v>
      </c>
      <c r="T28" s="307">
        <v>1145</v>
      </c>
      <c r="U28" s="307">
        <v>740</v>
      </c>
      <c r="V28" s="307">
        <v>335</v>
      </c>
      <c r="W28" s="307">
        <v>20</v>
      </c>
      <c r="X28" s="175">
        <f t="shared" si="1"/>
        <v>42545.880000000005</v>
      </c>
    </row>
    <row r="29" spans="1:24" s="78" customFormat="1" ht="20.25" customHeight="1">
      <c r="A29" s="494">
        <v>12</v>
      </c>
      <c r="B29" s="164" t="s">
        <v>475</v>
      </c>
      <c r="C29" s="446" t="s">
        <v>615</v>
      </c>
      <c r="D29" s="446">
        <v>638</v>
      </c>
      <c r="E29" s="496">
        <v>1496459</v>
      </c>
      <c r="F29" s="448" t="s">
        <v>500</v>
      </c>
      <c r="G29" s="335" t="s">
        <v>478</v>
      </c>
      <c r="H29" s="306">
        <v>3000</v>
      </c>
      <c r="I29" s="305">
        <v>5000</v>
      </c>
      <c r="J29" s="304">
        <v>5000</v>
      </c>
      <c r="K29" s="304">
        <v>10000</v>
      </c>
      <c r="L29" s="304">
        <v>20000</v>
      </c>
      <c r="M29" s="304">
        <v>50000</v>
      </c>
      <c r="N29" s="304">
        <v>50000</v>
      </c>
      <c r="O29" s="304">
        <v>50000</v>
      </c>
      <c r="P29" s="304">
        <v>69458</v>
      </c>
      <c r="Q29" s="304">
        <v>75944</v>
      </c>
      <c r="R29" s="306">
        <v>75944</v>
      </c>
      <c r="S29" s="306">
        <f>75944</f>
        <v>75944</v>
      </c>
      <c r="T29" s="306">
        <v>75944</v>
      </c>
      <c r="U29" s="306">
        <v>75944</v>
      </c>
      <c r="V29" s="306">
        <v>75944</v>
      </c>
      <c r="W29" s="306">
        <f>75944+700643</f>
        <v>776587</v>
      </c>
      <c r="X29" s="174">
        <f t="shared" si="1"/>
        <v>1494709</v>
      </c>
    </row>
    <row r="30" spans="1:24" s="78" customFormat="1" ht="20.25" customHeight="1">
      <c r="A30" s="495"/>
      <c r="B30" s="165" t="s">
        <v>501</v>
      </c>
      <c r="C30" s="447"/>
      <c r="D30" s="447"/>
      <c r="E30" s="497"/>
      <c r="F30" s="449"/>
      <c r="G30" s="336">
        <v>0.01732</v>
      </c>
      <c r="H30" s="346">
        <v>5753.92</v>
      </c>
      <c r="I30" s="308">
        <v>34815</v>
      </c>
      <c r="J30" s="307">
        <v>60430</v>
      </c>
      <c r="K30" s="307">
        <v>30010</v>
      </c>
      <c r="L30" s="307">
        <v>29770</v>
      </c>
      <c r="M30" s="307">
        <v>29250</v>
      </c>
      <c r="N30" s="307">
        <v>28350</v>
      </c>
      <c r="O30" s="307">
        <v>27255</v>
      </c>
      <c r="P30" s="307">
        <v>26200</v>
      </c>
      <c r="Q30" s="307">
        <v>24750</v>
      </c>
      <c r="R30" s="307">
        <v>23275</v>
      </c>
      <c r="S30" s="307">
        <v>21675</v>
      </c>
      <c r="T30" s="307">
        <v>20130</v>
      </c>
      <c r="U30" s="307">
        <v>18590</v>
      </c>
      <c r="V30" s="307">
        <v>17100</v>
      </c>
      <c r="W30" s="307">
        <f>15510+70585</f>
        <v>86095</v>
      </c>
      <c r="X30" s="175">
        <f t="shared" si="1"/>
        <v>483448.92</v>
      </c>
    </row>
    <row r="31" spans="1:24" s="78" customFormat="1" ht="12.75">
      <c r="A31" s="494">
        <v>13</v>
      </c>
      <c r="B31" s="164" t="s">
        <v>475</v>
      </c>
      <c r="C31" s="446" t="s">
        <v>616</v>
      </c>
      <c r="D31" s="446">
        <v>639</v>
      </c>
      <c r="E31" s="496">
        <v>520249</v>
      </c>
      <c r="F31" s="448" t="s">
        <v>502</v>
      </c>
      <c r="G31" s="335" t="s">
        <v>478</v>
      </c>
      <c r="H31" s="347">
        <v>2000</v>
      </c>
      <c r="I31" s="305">
        <v>2000</v>
      </c>
      <c r="J31" s="304">
        <v>5000</v>
      </c>
      <c r="K31" s="304">
        <v>5000</v>
      </c>
      <c r="L31" s="304">
        <v>10000</v>
      </c>
      <c r="M31" s="304">
        <v>45000</v>
      </c>
      <c r="N31" s="304">
        <v>45000</v>
      </c>
      <c r="O31" s="304">
        <v>45000</v>
      </c>
      <c r="P31" s="304">
        <v>45000</v>
      </c>
      <c r="Q31" s="304">
        <v>45000</v>
      </c>
      <c r="R31" s="306">
        <v>45000</v>
      </c>
      <c r="S31" s="306">
        <v>45000</v>
      </c>
      <c r="T31" s="306">
        <v>45000</v>
      </c>
      <c r="U31" s="306">
        <v>45000</v>
      </c>
      <c r="V31" s="306">
        <v>45000</v>
      </c>
      <c r="W31" s="306">
        <f>44949</f>
        <v>44949</v>
      </c>
      <c r="X31" s="174">
        <f t="shared" si="1"/>
        <v>518949</v>
      </c>
    </row>
    <row r="32" spans="1:24" s="78" customFormat="1" ht="12.75">
      <c r="A32" s="495"/>
      <c r="B32" s="165" t="s">
        <v>503</v>
      </c>
      <c r="C32" s="447"/>
      <c r="D32" s="447"/>
      <c r="E32" s="497"/>
      <c r="F32" s="449"/>
      <c r="G32" s="336">
        <v>0.01732</v>
      </c>
      <c r="H32" s="348">
        <v>1996.56</v>
      </c>
      <c r="I32" s="308">
        <v>11405</v>
      </c>
      <c r="J32" s="307">
        <v>18295</v>
      </c>
      <c r="K32" s="307">
        <v>10325</v>
      </c>
      <c r="L32" s="307">
        <v>10205</v>
      </c>
      <c r="M32" s="307">
        <v>9860</v>
      </c>
      <c r="N32" s="307">
        <v>9010</v>
      </c>
      <c r="O32" s="307">
        <v>8075</v>
      </c>
      <c r="P32" s="307">
        <v>7160</v>
      </c>
      <c r="Q32" s="307">
        <v>6250</v>
      </c>
      <c r="R32" s="307">
        <v>5350</v>
      </c>
      <c r="S32" s="307">
        <v>4425</v>
      </c>
      <c r="T32" s="307">
        <v>3510</v>
      </c>
      <c r="U32" s="307">
        <v>2600</v>
      </c>
      <c r="V32" s="307">
        <v>1690</v>
      </c>
      <c r="W32" s="307">
        <v>710</v>
      </c>
      <c r="X32" s="175">
        <f t="shared" si="1"/>
        <v>110866.56</v>
      </c>
    </row>
    <row r="33" spans="1:24" s="78" customFormat="1" ht="18.75" customHeight="1">
      <c r="A33" s="494">
        <v>14</v>
      </c>
      <c r="B33" s="164" t="s">
        <v>475</v>
      </c>
      <c r="C33" s="446" t="s">
        <v>617</v>
      </c>
      <c r="D33" s="446">
        <v>640</v>
      </c>
      <c r="E33" s="496">
        <f>409900-0.21</f>
        <v>409899.79</v>
      </c>
      <c r="F33" s="448" t="s">
        <v>504</v>
      </c>
      <c r="G33" s="335" t="s">
        <v>478</v>
      </c>
      <c r="H33" s="306">
        <v>2000</v>
      </c>
      <c r="I33" s="305">
        <v>2000</v>
      </c>
      <c r="J33" s="304">
        <v>5000</v>
      </c>
      <c r="K33" s="304">
        <v>5000</v>
      </c>
      <c r="L33" s="304">
        <v>10000</v>
      </c>
      <c r="M33" s="304">
        <v>34964</v>
      </c>
      <c r="N33" s="304">
        <v>34964</v>
      </c>
      <c r="O33" s="304">
        <v>34964</v>
      </c>
      <c r="P33" s="304">
        <v>34964</v>
      </c>
      <c r="Q33" s="304">
        <v>34964</v>
      </c>
      <c r="R33" s="306">
        <v>34964</v>
      </c>
      <c r="S33" s="306">
        <v>34964</v>
      </c>
      <c r="T33" s="306">
        <v>34964</v>
      </c>
      <c r="U33" s="306">
        <v>34964</v>
      </c>
      <c r="V33" s="306">
        <v>34964</v>
      </c>
      <c r="W33" s="306">
        <v>34959.79</v>
      </c>
      <c r="X33" s="174">
        <f t="shared" si="1"/>
        <v>408599.79</v>
      </c>
    </row>
    <row r="34" spans="1:24" s="78" customFormat="1" ht="18.75" customHeight="1">
      <c r="A34" s="495"/>
      <c r="B34" s="165" t="s">
        <v>505</v>
      </c>
      <c r="C34" s="447"/>
      <c r="D34" s="447"/>
      <c r="E34" s="497"/>
      <c r="F34" s="449"/>
      <c r="G34" s="336">
        <v>0.02983</v>
      </c>
      <c r="H34" s="346">
        <v>1034.75</v>
      </c>
      <c r="I34" s="308">
        <v>12290</v>
      </c>
      <c r="J34" s="307">
        <v>14365</v>
      </c>
      <c r="K34" s="307">
        <v>8090</v>
      </c>
      <c r="L34" s="307">
        <v>7965</v>
      </c>
      <c r="M34" s="307">
        <v>7665</v>
      </c>
      <c r="N34" s="307">
        <v>7000</v>
      </c>
      <c r="O34" s="307">
        <v>6275</v>
      </c>
      <c r="P34" s="307">
        <v>5565</v>
      </c>
      <c r="Q34" s="307">
        <v>4855</v>
      </c>
      <c r="R34" s="307">
        <v>4160</v>
      </c>
      <c r="S34" s="307">
        <v>3440</v>
      </c>
      <c r="T34" s="307">
        <v>2730</v>
      </c>
      <c r="U34" s="307">
        <v>2020</v>
      </c>
      <c r="V34" s="307">
        <v>1315</v>
      </c>
      <c r="W34" s="307">
        <f>600+40</f>
        <v>640</v>
      </c>
      <c r="X34" s="175">
        <f>SUM(H34:W34)</f>
        <v>89409.75</v>
      </c>
    </row>
    <row r="35" spans="1:24" s="78" customFormat="1" ht="12.75">
      <c r="A35" s="494">
        <v>15</v>
      </c>
      <c r="B35" s="164" t="s">
        <v>475</v>
      </c>
      <c r="C35" s="448" t="s">
        <v>618</v>
      </c>
      <c r="D35" s="446">
        <v>642</v>
      </c>
      <c r="E35" s="496">
        <f>231313-0.12</f>
        <v>231312.88</v>
      </c>
      <c r="F35" s="448" t="s">
        <v>506</v>
      </c>
      <c r="G35" s="193" t="s">
        <v>478</v>
      </c>
      <c r="H35" s="297">
        <v>6000</v>
      </c>
      <c r="I35" s="291">
        <v>14620</v>
      </c>
      <c r="J35" s="291">
        <v>14620</v>
      </c>
      <c r="K35" s="291">
        <v>14620</v>
      </c>
      <c r="L35" s="291">
        <v>14620</v>
      </c>
      <c r="M35" s="198">
        <v>14620</v>
      </c>
      <c r="N35" s="291">
        <v>14620</v>
      </c>
      <c r="O35" s="291">
        <v>14620</v>
      </c>
      <c r="P35" s="291">
        <v>14620</v>
      </c>
      <c r="Q35" s="291">
        <v>14620</v>
      </c>
      <c r="R35" s="291">
        <v>14620</v>
      </c>
      <c r="S35" s="291">
        <f>14620</f>
        <v>14620</v>
      </c>
      <c r="T35" s="291">
        <v>14620</v>
      </c>
      <c r="U35" s="291">
        <v>14620</v>
      </c>
      <c r="V35" s="297">
        <v>14620</v>
      </c>
      <c r="W35" s="297">
        <f>14632.88</f>
        <v>14632.88</v>
      </c>
      <c r="X35" s="174">
        <f t="shared" si="1"/>
        <v>225312.88</v>
      </c>
    </row>
    <row r="36" spans="1:24" s="78" customFormat="1" ht="12.75">
      <c r="A36" s="495"/>
      <c r="B36" s="165" t="s">
        <v>507</v>
      </c>
      <c r="C36" s="449"/>
      <c r="D36" s="447"/>
      <c r="E36" s="497"/>
      <c r="F36" s="449"/>
      <c r="G36" s="185">
        <v>0.0025</v>
      </c>
      <c r="H36" s="341">
        <v>568.74</v>
      </c>
      <c r="I36" s="294">
        <v>5855</v>
      </c>
      <c r="J36" s="294">
        <v>7205</v>
      </c>
      <c r="K36" s="294">
        <v>3810</v>
      </c>
      <c r="L36" s="294">
        <v>3515</v>
      </c>
      <c r="M36" s="200">
        <v>3220</v>
      </c>
      <c r="N36" s="294">
        <v>2930</v>
      </c>
      <c r="O36" s="294">
        <v>2625</v>
      </c>
      <c r="P36" s="294">
        <v>2330</v>
      </c>
      <c r="Q36" s="294">
        <v>2030</v>
      </c>
      <c r="R36" s="294">
        <v>1740</v>
      </c>
      <c r="S36" s="294">
        <v>1440</v>
      </c>
      <c r="T36" s="294">
        <v>1145</v>
      </c>
      <c r="U36" s="294">
        <v>845</v>
      </c>
      <c r="V36" s="294">
        <v>550</v>
      </c>
      <c r="W36" s="294">
        <f>255+20</f>
        <v>275</v>
      </c>
      <c r="X36" s="175">
        <f t="shared" si="1"/>
        <v>40083.74</v>
      </c>
    </row>
    <row r="37" spans="1:24" s="78" customFormat="1" ht="12.75">
      <c r="A37" s="494">
        <v>16</v>
      </c>
      <c r="B37" s="164" t="s">
        <v>475</v>
      </c>
      <c r="C37" s="446" t="s">
        <v>508</v>
      </c>
      <c r="D37" s="446">
        <v>644</v>
      </c>
      <c r="E37" s="496">
        <f>1188567-257831-28891.82</f>
        <v>901844.18</v>
      </c>
      <c r="F37" s="448" t="s">
        <v>509</v>
      </c>
      <c r="G37" s="193" t="s">
        <v>478</v>
      </c>
      <c r="H37" s="199">
        <v>1000</v>
      </c>
      <c r="I37" s="198">
        <v>2000</v>
      </c>
      <c r="J37" s="198">
        <v>6000</v>
      </c>
      <c r="K37" s="198">
        <v>10000</v>
      </c>
      <c r="L37" s="198">
        <v>16000</v>
      </c>
      <c r="M37" s="198">
        <v>36800</v>
      </c>
      <c r="N37" s="198">
        <v>36800</v>
      </c>
      <c r="O37" s="198">
        <v>36800</v>
      </c>
      <c r="P37" s="198">
        <v>36800</v>
      </c>
      <c r="Q37" s="198">
        <v>36800</v>
      </c>
      <c r="R37" s="198">
        <v>36800</v>
      </c>
      <c r="S37" s="198">
        <v>36800</v>
      </c>
      <c r="T37" s="198">
        <v>36800</v>
      </c>
      <c r="U37" s="198">
        <v>36800</v>
      </c>
      <c r="V37" s="198">
        <v>36800</v>
      </c>
      <c r="W37" s="198">
        <f>36800+377002</f>
        <v>413802</v>
      </c>
      <c r="X37" s="174">
        <f t="shared" si="1"/>
        <v>816802</v>
      </c>
    </row>
    <row r="38" spans="1:24" s="78" customFormat="1" ht="12.75">
      <c r="A38" s="495"/>
      <c r="B38" s="184" t="s">
        <v>510</v>
      </c>
      <c r="C38" s="447"/>
      <c r="D38" s="447"/>
      <c r="E38" s="497"/>
      <c r="F38" s="449"/>
      <c r="G38" s="188">
        <v>0.00939</v>
      </c>
      <c r="H38" s="310">
        <v>3991.6</v>
      </c>
      <c r="I38" s="200">
        <v>20445</v>
      </c>
      <c r="J38" s="200">
        <v>33050</v>
      </c>
      <c r="K38" s="200">
        <v>16345</v>
      </c>
      <c r="L38" s="200">
        <v>16125</v>
      </c>
      <c r="M38" s="200">
        <v>15715</v>
      </c>
      <c r="N38" s="200">
        <v>15035</v>
      </c>
      <c r="O38" s="200">
        <v>14250</v>
      </c>
      <c r="P38" s="200">
        <v>13500</v>
      </c>
      <c r="Q38" s="200">
        <v>12755</v>
      </c>
      <c r="R38" s="200">
        <v>12045</v>
      </c>
      <c r="S38" s="200">
        <v>11265</v>
      </c>
      <c r="T38" s="200">
        <v>10515</v>
      </c>
      <c r="U38" s="200">
        <v>9770</v>
      </c>
      <c r="V38" s="200">
        <v>9050</v>
      </c>
      <c r="W38" s="200">
        <f>8280+41875</f>
        <v>50155</v>
      </c>
      <c r="X38" s="175">
        <f t="shared" si="1"/>
        <v>264011.6</v>
      </c>
    </row>
    <row r="39" spans="1:24" s="78" customFormat="1" ht="12.75">
      <c r="A39" s="494">
        <v>17</v>
      </c>
      <c r="B39" s="164" t="s">
        <v>475</v>
      </c>
      <c r="C39" s="446" t="s">
        <v>511</v>
      </c>
      <c r="D39" s="446">
        <v>645</v>
      </c>
      <c r="E39" s="496">
        <v>785535</v>
      </c>
      <c r="F39" s="448" t="s">
        <v>512</v>
      </c>
      <c r="G39" s="193" t="s">
        <v>478</v>
      </c>
      <c r="H39" s="199">
        <v>2000</v>
      </c>
      <c r="I39" s="198">
        <v>4000</v>
      </c>
      <c r="J39" s="198">
        <v>6000</v>
      </c>
      <c r="K39" s="198">
        <v>10000</v>
      </c>
      <c r="L39" s="198">
        <v>20000</v>
      </c>
      <c r="M39" s="198">
        <v>66200</v>
      </c>
      <c r="N39" s="198">
        <v>66200</v>
      </c>
      <c r="O39" s="198">
        <v>66200</v>
      </c>
      <c r="P39" s="198">
        <v>66200</v>
      </c>
      <c r="Q39" s="198">
        <v>66200</v>
      </c>
      <c r="R39" s="198">
        <v>66200</v>
      </c>
      <c r="S39" s="198">
        <v>66200</v>
      </c>
      <c r="T39" s="198">
        <v>66200</v>
      </c>
      <c r="U39" s="198">
        <v>66200</v>
      </c>
      <c r="V39" s="198">
        <v>66200</v>
      </c>
      <c r="W39" s="198">
        <f>66200+14960</f>
        <v>81160</v>
      </c>
      <c r="X39" s="174">
        <f t="shared" si="1"/>
        <v>785160</v>
      </c>
    </row>
    <row r="40" spans="1:24" s="78" customFormat="1" ht="12.75">
      <c r="A40" s="495"/>
      <c r="B40" s="184" t="s">
        <v>513</v>
      </c>
      <c r="C40" s="447"/>
      <c r="D40" s="447"/>
      <c r="E40" s="497"/>
      <c r="F40" s="449"/>
      <c r="G40" s="188">
        <v>0.01513</v>
      </c>
      <c r="H40" s="310">
        <v>4409.93</v>
      </c>
      <c r="I40" s="200">
        <v>15970</v>
      </c>
      <c r="J40" s="200">
        <v>27690</v>
      </c>
      <c r="K40" s="200">
        <v>15645</v>
      </c>
      <c r="L40" s="200">
        <v>15405</v>
      </c>
      <c r="M40" s="200">
        <v>14815</v>
      </c>
      <c r="N40" s="200">
        <v>13560</v>
      </c>
      <c r="O40" s="200">
        <v>12180</v>
      </c>
      <c r="P40" s="200">
        <v>10840</v>
      </c>
      <c r="Q40" s="200">
        <v>9495</v>
      </c>
      <c r="R40" s="200">
        <v>8175</v>
      </c>
      <c r="S40" s="200">
        <v>6810</v>
      </c>
      <c r="T40" s="200">
        <v>5470</v>
      </c>
      <c r="U40" s="200">
        <v>4125</v>
      </c>
      <c r="V40" s="200">
        <v>2790</v>
      </c>
      <c r="W40" s="200">
        <f>1440+220</f>
        <v>1660</v>
      </c>
      <c r="X40" s="175">
        <f t="shared" si="1"/>
        <v>169039.93</v>
      </c>
    </row>
    <row r="41" spans="1:24" s="78" customFormat="1" ht="25.5" customHeight="1">
      <c r="A41" s="494">
        <v>18</v>
      </c>
      <c r="B41" s="164" t="s">
        <v>475</v>
      </c>
      <c r="C41" s="446" t="s">
        <v>514</v>
      </c>
      <c r="D41" s="446">
        <v>646</v>
      </c>
      <c r="E41" s="501">
        <f>2223157+31089</f>
        <v>2254246</v>
      </c>
      <c r="F41" s="448" t="s">
        <v>515</v>
      </c>
      <c r="G41" s="193" t="s">
        <v>478</v>
      </c>
      <c r="H41" s="199">
        <v>4000</v>
      </c>
      <c r="I41" s="198">
        <v>6000</v>
      </c>
      <c r="J41" s="198">
        <v>10000</v>
      </c>
      <c r="K41" s="198">
        <v>20000</v>
      </c>
      <c r="L41" s="198">
        <v>40000</v>
      </c>
      <c r="M41" s="198">
        <v>102248</v>
      </c>
      <c r="N41" s="198">
        <v>102248</v>
      </c>
      <c r="O41" s="198">
        <v>102248</v>
      </c>
      <c r="P41" s="198">
        <v>102248</v>
      </c>
      <c r="Q41" s="198">
        <v>102248</v>
      </c>
      <c r="R41" s="198">
        <v>102248</v>
      </c>
      <c r="S41" s="198">
        <v>102248</v>
      </c>
      <c r="T41" s="198">
        <v>102248</v>
      </c>
      <c r="U41" s="198">
        <v>102248</v>
      </c>
      <c r="V41" s="198">
        <v>102248</v>
      </c>
      <c r="W41" s="198">
        <f>102248+1048018</f>
        <v>1150266</v>
      </c>
      <c r="X41" s="174">
        <f t="shared" si="1"/>
        <v>2252746</v>
      </c>
    </row>
    <row r="42" spans="1:24" s="78" customFormat="1" ht="25.5" customHeight="1">
      <c r="A42" s="495"/>
      <c r="B42" s="184" t="s">
        <v>516</v>
      </c>
      <c r="C42" s="447"/>
      <c r="D42" s="447"/>
      <c r="E42" s="502"/>
      <c r="F42" s="449"/>
      <c r="G42" s="188">
        <v>0.01513</v>
      </c>
      <c r="H42" s="310">
        <v>12656.63</v>
      </c>
      <c r="I42" s="200">
        <v>48755</v>
      </c>
      <c r="J42" s="200">
        <v>91135</v>
      </c>
      <c r="K42" s="200">
        <v>45205</v>
      </c>
      <c r="L42" s="200">
        <v>44725</v>
      </c>
      <c r="M42" s="200">
        <v>43670</v>
      </c>
      <c r="N42" s="200">
        <v>41785</v>
      </c>
      <c r="O42" s="200">
        <v>39595</v>
      </c>
      <c r="P42" s="200">
        <v>37520</v>
      </c>
      <c r="Q42" s="200">
        <v>35450</v>
      </c>
      <c r="R42" s="200">
        <v>33465</v>
      </c>
      <c r="S42" s="200">
        <v>31300</v>
      </c>
      <c r="T42" s="200">
        <v>29230</v>
      </c>
      <c r="U42" s="200">
        <v>27155</v>
      </c>
      <c r="V42" s="200">
        <v>25150</v>
      </c>
      <c r="W42" s="200">
        <f>23005+116450</f>
        <v>139455</v>
      </c>
      <c r="X42" s="175">
        <f t="shared" si="1"/>
        <v>726251.63</v>
      </c>
    </row>
    <row r="43" spans="1:24" s="78" customFormat="1" ht="19.5" customHeight="1">
      <c r="A43" s="494">
        <v>19</v>
      </c>
      <c r="B43" s="164" t="s">
        <v>475</v>
      </c>
      <c r="C43" s="446" t="s">
        <v>250</v>
      </c>
      <c r="D43" s="446">
        <v>647</v>
      </c>
      <c r="E43" s="496">
        <v>1632032</v>
      </c>
      <c r="F43" s="448" t="s">
        <v>515</v>
      </c>
      <c r="G43" s="193" t="s">
        <v>478</v>
      </c>
      <c r="H43" s="199">
        <v>2000</v>
      </c>
      <c r="I43" s="198">
        <v>6000</v>
      </c>
      <c r="J43" s="198">
        <v>20000</v>
      </c>
      <c r="K43" s="198">
        <v>40000</v>
      </c>
      <c r="L43" s="198">
        <v>60000</v>
      </c>
      <c r="M43" s="198">
        <v>65168</v>
      </c>
      <c r="N43" s="198">
        <v>65168</v>
      </c>
      <c r="O43" s="198">
        <v>65168</v>
      </c>
      <c r="P43" s="198">
        <v>65168</v>
      </c>
      <c r="Q43" s="198">
        <v>65168</v>
      </c>
      <c r="R43" s="198">
        <v>65168</v>
      </c>
      <c r="S43" s="198">
        <v>65168</v>
      </c>
      <c r="T43" s="198">
        <v>65168</v>
      </c>
      <c r="U43" s="198">
        <v>65168</v>
      </c>
      <c r="V43" s="198">
        <v>65168</v>
      </c>
      <c r="W43" s="198">
        <f>65168+667953</f>
        <v>733121</v>
      </c>
      <c r="X43" s="174">
        <f t="shared" si="1"/>
        <v>1512801</v>
      </c>
    </row>
    <row r="44" spans="1:24" s="78" customFormat="1" ht="19.5" customHeight="1">
      <c r="A44" s="495"/>
      <c r="B44" s="184" t="s">
        <v>517</v>
      </c>
      <c r="C44" s="447"/>
      <c r="D44" s="447"/>
      <c r="E44" s="497"/>
      <c r="F44" s="449"/>
      <c r="G44" s="188">
        <v>0.01513</v>
      </c>
      <c r="H44" s="310">
        <v>8500.77</v>
      </c>
      <c r="I44" s="200">
        <v>32745</v>
      </c>
      <c r="J44" s="200">
        <v>61040</v>
      </c>
      <c r="K44" s="200">
        <v>29965</v>
      </c>
      <c r="L44" s="200">
        <v>29090</v>
      </c>
      <c r="M44" s="200">
        <v>27875</v>
      </c>
      <c r="N44" s="200">
        <v>26630</v>
      </c>
      <c r="O44" s="200">
        <v>25235</v>
      </c>
      <c r="P44" s="200">
        <v>23915</v>
      </c>
      <c r="Q44" s="200">
        <v>22595</v>
      </c>
      <c r="R44" s="200">
        <v>21330</v>
      </c>
      <c r="S44" s="200">
        <v>19950</v>
      </c>
      <c r="T44" s="200">
        <v>18630</v>
      </c>
      <c r="U44" s="200">
        <v>17305</v>
      </c>
      <c r="V44" s="200">
        <v>16030</v>
      </c>
      <c r="W44" s="200">
        <f>14665+74220</f>
        <v>88885</v>
      </c>
      <c r="X44" s="175">
        <f t="shared" si="1"/>
        <v>469720.77</v>
      </c>
    </row>
    <row r="45" spans="1:24" s="78" customFormat="1" ht="26.25" customHeight="1">
      <c r="A45" s="494">
        <v>20</v>
      </c>
      <c r="B45" s="164" t="s">
        <v>475</v>
      </c>
      <c r="C45" s="446" t="s">
        <v>518</v>
      </c>
      <c r="D45" s="446">
        <v>649</v>
      </c>
      <c r="E45" s="501">
        <f>1181972+164205</f>
        <v>1346177</v>
      </c>
      <c r="F45" s="448" t="s">
        <v>519</v>
      </c>
      <c r="G45" s="193" t="s">
        <v>478</v>
      </c>
      <c r="H45" s="199">
        <v>2000</v>
      </c>
      <c r="I45" s="198">
        <v>6000</v>
      </c>
      <c r="J45" s="198">
        <v>10000</v>
      </c>
      <c r="K45" s="198">
        <v>20000</v>
      </c>
      <c r="L45" s="198">
        <v>40000</v>
      </c>
      <c r="M45" s="198">
        <v>51324</v>
      </c>
      <c r="N45" s="198">
        <v>59336</v>
      </c>
      <c r="O45" s="198">
        <v>59336</v>
      </c>
      <c r="P45" s="198">
        <v>59336</v>
      </c>
      <c r="Q45" s="198">
        <v>59336</v>
      </c>
      <c r="R45" s="198">
        <v>59336</v>
      </c>
      <c r="S45" s="198">
        <v>59336</v>
      </c>
      <c r="T45" s="198">
        <v>59336</v>
      </c>
      <c r="U45" s="198">
        <v>59336</v>
      </c>
      <c r="V45" s="198">
        <v>59336</v>
      </c>
      <c r="W45" s="198">
        <f>59336+622993</f>
        <v>682329</v>
      </c>
      <c r="X45" s="174">
        <f t="shared" si="1"/>
        <v>1345677</v>
      </c>
    </row>
    <row r="46" spans="1:24" s="78" customFormat="1" ht="23.25" customHeight="1">
      <c r="A46" s="495"/>
      <c r="B46" s="184" t="s">
        <v>520</v>
      </c>
      <c r="C46" s="447"/>
      <c r="D46" s="447"/>
      <c r="E46" s="502"/>
      <c r="F46" s="449"/>
      <c r="G46" s="188">
        <v>0.01381</v>
      </c>
      <c r="H46" s="310">
        <v>5902.29</v>
      </c>
      <c r="I46" s="200">
        <v>27770</v>
      </c>
      <c r="J46" s="200">
        <v>54330</v>
      </c>
      <c r="K46" s="200">
        <v>26850</v>
      </c>
      <c r="L46" s="200">
        <v>26370</v>
      </c>
      <c r="M46" s="200">
        <v>25535</v>
      </c>
      <c r="N46" s="200">
        <v>24540</v>
      </c>
      <c r="O46" s="200">
        <v>23280</v>
      </c>
      <c r="P46" s="200">
        <v>22075</v>
      </c>
      <c r="Q46" s="200">
        <v>20870</v>
      </c>
      <c r="R46" s="200">
        <v>19725</v>
      </c>
      <c r="S46" s="200">
        <v>18465</v>
      </c>
      <c r="T46" s="200">
        <v>17260</v>
      </c>
      <c r="U46" s="200">
        <v>16060</v>
      </c>
      <c r="V46" s="200">
        <v>14900</v>
      </c>
      <c r="W46" s="200">
        <f>13650+70800</f>
        <v>84450</v>
      </c>
      <c r="X46" s="175">
        <f t="shared" si="1"/>
        <v>428382.29000000004</v>
      </c>
    </row>
    <row r="47" spans="1:24" s="78" customFormat="1" ht="15.75" customHeight="1">
      <c r="A47" s="494">
        <v>21</v>
      </c>
      <c r="B47" s="164" t="s">
        <v>475</v>
      </c>
      <c r="C47" s="446" t="s">
        <v>738</v>
      </c>
      <c r="D47" s="446">
        <v>650</v>
      </c>
      <c r="E47" s="496">
        <f>1108154-97425-61240.54</f>
        <v>949488.46</v>
      </c>
      <c r="F47" s="448" t="s">
        <v>521</v>
      </c>
      <c r="G47" s="193" t="s">
        <v>478</v>
      </c>
      <c r="H47" s="199">
        <v>2000</v>
      </c>
      <c r="I47" s="198">
        <v>4000</v>
      </c>
      <c r="J47" s="198">
        <v>10000</v>
      </c>
      <c r="K47" s="198">
        <v>16000</v>
      </c>
      <c r="L47" s="198">
        <v>28000</v>
      </c>
      <c r="M47" s="198">
        <v>35944</v>
      </c>
      <c r="N47" s="198">
        <v>35944</v>
      </c>
      <c r="O47" s="198">
        <v>35944</v>
      </c>
      <c r="P47" s="198">
        <v>35944</v>
      </c>
      <c r="Q47" s="198">
        <v>35944</v>
      </c>
      <c r="R47" s="198">
        <v>35944</v>
      </c>
      <c r="S47" s="198">
        <v>35944</v>
      </c>
      <c r="T47" s="198">
        <v>35944</v>
      </c>
      <c r="U47" s="198">
        <v>35944</v>
      </c>
      <c r="V47" s="198">
        <v>35944</v>
      </c>
      <c r="W47" s="198">
        <f>35944+368406</f>
        <v>404350</v>
      </c>
      <c r="X47" s="174">
        <f t="shared" si="1"/>
        <v>823790</v>
      </c>
    </row>
    <row r="48" spans="1:24" s="78" customFormat="1" ht="12.75">
      <c r="A48" s="495"/>
      <c r="B48" s="184" t="s">
        <v>522</v>
      </c>
      <c r="C48" s="447"/>
      <c r="D48" s="447"/>
      <c r="E48" s="497"/>
      <c r="F48" s="449"/>
      <c r="G48" s="188">
        <v>0.01381</v>
      </c>
      <c r="H48" s="310">
        <v>3612.08</v>
      </c>
      <c r="I48" s="200">
        <v>16985</v>
      </c>
      <c r="J48" s="200">
        <v>33185</v>
      </c>
      <c r="K48" s="200">
        <v>16325</v>
      </c>
      <c r="L48" s="200">
        <v>15955</v>
      </c>
      <c r="M48" s="200">
        <v>15370</v>
      </c>
      <c r="N48" s="200">
        <v>14690</v>
      </c>
      <c r="O48" s="200">
        <v>13920</v>
      </c>
      <c r="P48" s="200">
        <v>13190</v>
      </c>
      <c r="Q48" s="200">
        <v>12465</v>
      </c>
      <c r="R48" s="200">
        <v>11765</v>
      </c>
      <c r="S48" s="200">
        <v>11005</v>
      </c>
      <c r="T48" s="200">
        <v>10275</v>
      </c>
      <c r="U48" s="200">
        <v>9545</v>
      </c>
      <c r="V48" s="200">
        <v>8845</v>
      </c>
      <c r="W48" s="200">
        <f>8090+40935</f>
        <v>49025</v>
      </c>
      <c r="X48" s="175">
        <f t="shared" si="1"/>
        <v>256157.08000000002</v>
      </c>
    </row>
    <row r="49" spans="1:24" s="78" customFormat="1" ht="12.75">
      <c r="A49" s="494">
        <v>22</v>
      </c>
      <c r="B49" s="164" t="s">
        <v>475</v>
      </c>
      <c r="C49" s="446" t="s">
        <v>523</v>
      </c>
      <c r="D49" s="446">
        <v>651</v>
      </c>
      <c r="E49" s="496">
        <f>225000-4003.53</f>
        <v>220996.47</v>
      </c>
      <c r="F49" s="448" t="s">
        <v>524</v>
      </c>
      <c r="G49" s="193" t="s">
        <v>478</v>
      </c>
      <c r="H49" s="199">
        <v>2000</v>
      </c>
      <c r="I49" s="198">
        <v>4000</v>
      </c>
      <c r="J49" s="198">
        <v>6000</v>
      </c>
      <c r="K49" s="198">
        <v>8000</v>
      </c>
      <c r="L49" s="198">
        <v>16380</v>
      </c>
      <c r="M49" s="198">
        <v>16380</v>
      </c>
      <c r="N49" s="198">
        <v>16380</v>
      </c>
      <c r="O49" s="198">
        <v>16380</v>
      </c>
      <c r="P49" s="198">
        <v>16380</v>
      </c>
      <c r="Q49" s="198">
        <v>16380</v>
      </c>
      <c r="R49" s="198">
        <v>16380</v>
      </c>
      <c r="S49" s="198">
        <v>16380</v>
      </c>
      <c r="T49" s="198">
        <v>16380</v>
      </c>
      <c r="U49" s="198">
        <v>16380</v>
      </c>
      <c r="V49" s="199">
        <v>16380</v>
      </c>
      <c r="W49" s="199">
        <f>16380+4061.47</f>
        <v>20441.47</v>
      </c>
      <c r="X49" s="174">
        <f t="shared" si="1"/>
        <v>220621.47</v>
      </c>
    </row>
    <row r="50" spans="1:24" s="78" customFormat="1" ht="12.75">
      <c r="A50" s="495"/>
      <c r="B50" s="184" t="s">
        <v>525</v>
      </c>
      <c r="C50" s="447"/>
      <c r="D50" s="447"/>
      <c r="E50" s="497"/>
      <c r="F50" s="449"/>
      <c r="G50" s="188">
        <v>0.01381</v>
      </c>
      <c r="H50" s="310">
        <v>965.14</v>
      </c>
      <c r="I50" s="200">
        <v>4225</v>
      </c>
      <c r="J50" s="200">
        <v>7600</v>
      </c>
      <c r="K50" s="200">
        <v>4205</v>
      </c>
      <c r="L50" s="200">
        <v>4010</v>
      </c>
      <c r="M50" s="200">
        <v>3685</v>
      </c>
      <c r="N50" s="200">
        <v>3365</v>
      </c>
      <c r="O50" s="200">
        <v>3025</v>
      </c>
      <c r="P50" s="200">
        <v>2690</v>
      </c>
      <c r="Q50" s="200">
        <v>2360</v>
      </c>
      <c r="R50" s="200">
        <v>2030</v>
      </c>
      <c r="S50" s="200">
        <v>1695</v>
      </c>
      <c r="T50" s="200">
        <v>1360</v>
      </c>
      <c r="U50" s="200">
        <v>1030</v>
      </c>
      <c r="V50" s="200">
        <v>700</v>
      </c>
      <c r="W50" s="200">
        <f>365+60</f>
        <v>425</v>
      </c>
      <c r="X50" s="175">
        <f t="shared" si="1"/>
        <v>43370.14</v>
      </c>
    </row>
    <row r="51" spans="1:24" s="78" customFormat="1" ht="12.75">
      <c r="A51" s="494">
        <v>23</v>
      </c>
      <c r="B51" s="164" t="s">
        <v>475</v>
      </c>
      <c r="C51" s="446" t="s">
        <v>619</v>
      </c>
      <c r="D51" s="446">
        <v>652</v>
      </c>
      <c r="E51" s="496">
        <f>888438-1.11</f>
        <v>888436.89</v>
      </c>
      <c r="F51" s="448" t="s">
        <v>526</v>
      </c>
      <c r="G51" s="193" t="s">
        <v>478</v>
      </c>
      <c r="H51" s="199">
        <v>2500</v>
      </c>
      <c r="I51" s="198">
        <v>6000</v>
      </c>
      <c r="J51" s="198">
        <v>10000</v>
      </c>
      <c r="K51" s="198">
        <v>20000</v>
      </c>
      <c r="L51" s="198">
        <v>40000</v>
      </c>
      <c r="M51" s="198">
        <v>70384</v>
      </c>
      <c r="N51" s="198">
        <v>70384</v>
      </c>
      <c r="O51" s="198">
        <v>70384</v>
      </c>
      <c r="P51" s="198">
        <v>70384</v>
      </c>
      <c r="Q51" s="198">
        <v>70384</v>
      </c>
      <c r="R51" s="198">
        <v>70384</v>
      </c>
      <c r="S51" s="198">
        <v>70384</v>
      </c>
      <c r="T51" s="198">
        <v>70384</v>
      </c>
      <c r="U51" s="198">
        <v>70384</v>
      </c>
      <c r="V51" s="199">
        <v>70384</v>
      </c>
      <c r="W51" s="199">
        <f>70384+35212.89</f>
        <v>105596.89</v>
      </c>
      <c r="X51" s="174">
        <f t="shared" si="1"/>
        <v>887936.89</v>
      </c>
    </row>
    <row r="52" spans="1:24" s="78" customFormat="1" ht="12.75">
      <c r="A52" s="507"/>
      <c r="B52" s="186" t="s">
        <v>527</v>
      </c>
      <c r="C52" s="498"/>
      <c r="D52" s="498"/>
      <c r="E52" s="499"/>
      <c r="F52" s="500"/>
      <c r="G52" s="188">
        <v>0.01732</v>
      </c>
      <c r="H52" s="310">
        <v>3417.76</v>
      </c>
      <c r="I52" s="200">
        <v>19520</v>
      </c>
      <c r="J52" s="200">
        <v>31235</v>
      </c>
      <c r="K52" s="200">
        <v>17560</v>
      </c>
      <c r="L52" s="200">
        <v>17080</v>
      </c>
      <c r="M52" s="200">
        <v>16160</v>
      </c>
      <c r="N52" s="200">
        <v>14810</v>
      </c>
      <c r="O52" s="200">
        <v>13340</v>
      </c>
      <c r="P52" s="200">
        <v>11915</v>
      </c>
      <c r="Q52" s="200">
        <v>10485</v>
      </c>
      <c r="R52" s="200">
        <v>9085</v>
      </c>
      <c r="S52" s="200">
        <v>7635</v>
      </c>
      <c r="T52" s="200">
        <v>6205</v>
      </c>
      <c r="U52" s="200">
        <v>4780</v>
      </c>
      <c r="V52" s="200">
        <v>3360</v>
      </c>
      <c r="W52" s="200">
        <f>1925+505</f>
        <v>2430</v>
      </c>
      <c r="X52" s="176">
        <f t="shared" si="1"/>
        <v>189017.76</v>
      </c>
    </row>
    <row r="53" spans="1:24" s="167" customFormat="1" ht="19.5" customHeight="1">
      <c r="A53" s="494">
        <v>24</v>
      </c>
      <c r="B53" s="164" t="s">
        <v>475</v>
      </c>
      <c r="C53" s="446" t="s">
        <v>620</v>
      </c>
      <c r="D53" s="446">
        <v>653</v>
      </c>
      <c r="E53" s="496">
        <f>74835+24822-0.26+294955-28536.73</f>
        <v>366075.01</v>
      </c>
      <c r="F53" s="448" t="s">
        <v>528</v>
      </c>
      <c r="G53" s="193" t="s">
        <v>478</v>
      </c>
      <c r="H53" s="199">
        <v>27156</v>
      </c>
      <c r="I53" s="198">
        <v>27156</v>
      </c>
      <c r="J53" s="198">
        <v>27156</v>
      </c>
      <c r="K53" s="198">
        <v>27156</v>
      </c>
      <c r="L53" s="198">
        <v>27156</v>
      </c>
      <c r="M53" s="198">
        <v>27156</v>
      </c>
      <c r="N53" s="199">
        <v>13572</v>
      </c>
      <c r="O53" s="198"/>
      <c r="P53" s="198"/>
      <c r="Q53" s="198"/>
      <c r="R53" s="198"/>
      <c r="S53" s="198"/>
      <c r="T53" s="198"/>
      <c r="U53" s="198"/>
      <c r="V53" s="198"/>
      <c r="W53" s="198"/>
      <c r="X53" s="174">
        <f t="shared" si="1"/>
        <v>176508</v>
      </c>
    </row>
    <row r="54" spans="1:24" s="167" customFormat="1" ht="19.5" customHeight="1">
      <c r="A54" s="495"/>
      <c r="B54" s="184" t="s">
        <v>529</v>
      </c>
      <c r="C54" s="447"/>
      <c r="D54" s="447"/>
      <c r="E54" s="497"/>
      <c r="F54" s="449"/>
      <c r="G54" s="188">
        <v>0.01732</v>
      </c>
      <c r="H54" s="310">
        <v>644.58</v>
      </c>
      <c r="I54" s="200">
        <v>2990</v>
      </c>
      <c r="J54" s="200">
        <v>3600</v>
      </c>
      <c r="K54" s="200">
        <v>1845</v>
      </c>
      <c r="L54" s="200">
        <v>1295</v>
      </c>
      <c r="M54" s="200">
        <v>745</v>
      </c>
      <c r="N54" s="200">
        <v>195</v>
      </c>
      <c r="O54" s="200"/>
      <c r="P54" s="200"/>
      <c r="Q54" s="200"/>
      <c r="R54" s="200"/>
      <c r="S54" s="200"/>
      <c r="T54" s="200"/>
      <c r="U54" s="200"/>
      <c r="V54" s="200"/>
      <c r="W54" s="200"/>
      <c r="X54" s="175">
        <f t="shared" si="1"/>
        <v>11314.58</v>
      </c>
    </row>
    <row r="55" spans="1:24" s="78" customFormat="1" ht="12.75">
      <c r="A55" s="503">
        <v>25</v>
      </c>
      <c r="B55" s="187" t="s">
        <v>475</v>
      </c>
      <c r="C55" s="504" t="s">
        <v>530</v>
      </c>
      <c r="D55" s="504">
        <v>654</v>
      </c>
      <c r="E55" s="505">
        <v>74150</v>
      </c>
      <c r="F55" s="506" t="s">
        <v>531</v>
      </c>
      <c r="G55" s="193" t="s">
        <v>478</v>
      </c>
      <c r="H55" s="199">
        <v>2000</v>
      </c>
      <c r="I55" s="198">
        <v>3000</v>
      </c>
      <c r="J55" s="198">
        <v>4380</v>
      </c>
      <c r="K55" s="198">
        <v>4760</v>
      </c>
      <c r="L55" s="198">
        <v>4760</v>
      </c>
      <c r="M55" s="198">
        <v>4760</v>
      </c>
      <c r="N55" s="198">
        <v>4760</v>
      </c>
      <c r="O55" s="198">
        <v>4760</v>
      </c>
      <c r="P55" s="198">
        <v>4760</v>
      </c>
      <c r="Q55" s="198">
        <v>4760</v>
      </c>
      <c r="R55" s="198">
        <v>4760</v>
      </c>
      <c r="S55" s="198">
        <v>4760</v>
      </c>
      <c r="T55" s="198">
        <v>4760</v>
      </c>
      <c r="U55" s="198">
        <v>4760</v>
      </c>
      <c r="V55" s="198">
        <v>4760</v>
      </c>
      <c r="W55" s="198">
        <f>4760+2390</f>
        <v>7150</v>
      </c>
      <c r="X55" s="177">
        <f t="shared" si="1"/>
        <v>73650</v>
      </c>
    </row>
    <row r="56" spans="1:24" s="78" customFormat="1" ht="12.75">
      <c r="A56" s="495"/>
      <c r="B56" s="184" t="s">
        <v>532</v>
      </c>
      <c r="C56" s="447"/>
      <c r="D56" s="447"/>
      <c r="E56" s="497"/>
      <c r="F56" s="449"/>
      <c r="G56" s="188">
        <v>0.01732</v>
      </c>
      <c r="H56" s="310">
        <v>281.25</v>
      </c>
      <c r="I56" s="200">
        <v>1570</v>
      </c>
      <c r="J56" s="200">
        <v>2420</v>
      </c>
      <c r="K56" s="200">
        <v>1290</v>
      </c>
      <c r="L56" s="200">
        <v>1195</v>
      </c>
      <c r="M56" s="200">
        <v>1100</v>
      </c>
      <c r="N56" s="200">
        <v>1005</v>
      </c>
      <c r="O56" s="200">
        <v>905</v>
      </c>
      <c r="P56" s="200">
        <v>810</v>
      </c>
      <c r="Q56" s="200">
        <v>710</v>
      </c>
      <c r="R56" s="200">
        <v>615</v>
      </c>
      <c r="S56" s="200">
        <v>520</v>
      </c>
      <c r="T56" s="200">
        <v>420</v>
      </c>
      <c r="U56" s="200">
        <v>325</v>
      </c>
      <c r="V56" s="200">
        <v>230</v>
      </c>
      <c r="W56" s="200">
        <f>130+35</f>
        <v>165</v>
      </c>
      <c r="X56" s="175">
        <f t="shared" si="1"/>
        <v>13561.25</v>
      </c>
    </row>
    <row r="57" spans="1:24" s="78" customFormat="1" ht="19.5" customHeight="1">
      <c r="A57" s="494">
        <v>26</v>
      </c>
      <c r="B57" s="164" t="s">
        <v>475</v>
      </c>
      <c r="C57" s="446" t="s">
        <v>533</v>
      </c>
      <c r="D57" s="446">
        <v>655</v>
      </c>
      <c r="E57" s="496">
        <v>250000</v>
      </c>
      <c r="F57" s="448" t="s">
        <v>534</v>
      </c>
      <c r="G57" s="193" t="s">
        <v>478</v>
      </c>
      <c r="H57" s="199">
        <v>1000</v>
      </c>
      <c r="I57" s="198">
        <v>2000</v>
      </c>
      <c r="J57" s="198">
        <v>3000</v>
      </c>
      <c r="K57" s="198">
        <v>6000</v>
      </c>
      <c r="L57" s="198">
        <v>18644</v>
      </c>
      <c r="M57" s="198">
        <v>18644</v>
      </c>
      <c r="N57" s="198">
        <v>18644</v>
      </c>
      <c r="O57" s="198">
        <v>18644</v>
      </c>
      <c r="P57" s="198">
        <v>18644</v>
      </c>
      <c r="Q57" s="198">
        <v>18644</v>
      </c>
      <c r="R57" s="198">
        <v>18644</v>
      </c>
      <c r="S57" s="198">
        <v>18644</v>
      </c>
      <c r="T57" s="198">
        <v>18644</v>
      </c>
      <c r="U57" s="198">
        <v>18644</v>
      </c>
      <c r="V57" s="198">
        <v>18644</v>
      </c>
      <c r="W57" s="198">
        <f>18644+13972</f>
        <v>32616</v>
      </c>
      <c r="X57" s="174">
        <f t="shared" si="1"/>
        <v>249700</v>
      </c>
    </row>
    <row r="58" spans="1:24" s="78" customFormat="1" ht="19.5" customHeight="1">
      <c r="A58" s="495"/>
      <c r="B58" s="184" t="s">
        <v>535</v>
      </c>
      <c r="C58" s="447"/>
      <c r="D58" s="447"/>
      <c r="E58" s="497"/>
      <c r="F58" s="449"/>
      <c r="G58" s="188">
        <v>0.01732</v>
      </c>
      <c r="H58" s="310">
        <v>960.65</v>
      </c>
      <c r="I58" s="200">
        <v>5480</v>
      </c>
      <c r="J58" s="200">
        <v>8770</v>
      </c>
      <c r="K58" s="200">
        <v>4925</v>
      </c>
      <c r="L58" s="200">
        <v>4750</v>
      </c>
      <c r="M58" s="200">
        <v>4385</v>
      </c>
      <c r="N58" s="200">
        <v>4020</v>
      </c>
      <c r="O58" s="200">
        <v>3630</v>
      </c>
      <c r="P58" s="200">
        <v>3250</v>
      </c>
      <c r="Q58" s="200">
        <v>2875</v>
      </c>
      <c r="R58" s="200">
        <v>2500</v>
      </c>
      <c r="S58" s="200">
        <v>2120</v>
      </c>
      <c r="T58" s="200">
        <v>1740</v>
      </c>
      <c r="U58" s="200">
        <v>1360</v>
      </c>
      <c r="V58" s="200">
        <v>985</v>
      </c>
      <c r="W58" s="200">
        <f>605+225</f>
        <v>830</v>
      </c>
      <c r="X58" s="175">
        <f t="shared" si="1"/>
        <v>52580.65</v>
      </c>
    </row>
    <row r="59" spans="1:24" s="78" customFormat="1" ht="12.75">
      <c r="A59" s="494">
        <v>27</v>
      </c>
      <c r="B59" s="164" t="s">
        <v>475</v>
      </c>
      <c r="C59" s="446" t="s">
        <v>536</v>
      </c>
      <c r="D59" s="446">
        <v>656</v>
      </c>
      <c r="E59" s="496">
        <v>4203541</v>
      </c>
      <c r="F59" s="448" t="s">
        <v>537</v>
      </c>
      <c r="G59" s="193" t="s">
        <v>478</v>
      </c>
      <c r="H59" s="306">
        <v>3000</v>
      </c>
      <c r="I59" s="304">
        <v>4000</v>
      </c>
      <c r="J59" s="304">
        <v>5000</v>
      </c>
      <c r="K59" s="304">
        <v>10000</v>
      </c>
      <c r="L59" s="304">
        <v>20000</v>
      </c>
      <c r="M59" s="304">
        <v>50000</v>
      </c>
      <c r="N59" s="304">
        <v>62000</v>
      </c>
      <c r="O59" s="304">
        <v>80000</v>
      </c>
      <c r="P59" s="304">
        <v>223540</v>
      </c>
      <c r="Q59" s="304">
        <v>223540</v>
      </c>
      <c r="R59" s="304">
        <v>223540</v>
      </c>
      <c r="S59" s="306">
        <v>223540</v>
      </c>
      <c r="T59" s="306">
        <v>223540</v>
      </c>
      <c r="U59" s="306">
        <v>223540</v>
      </c>
      <c r="V59" s="198">
        <v>223540</v>
      </c>
      <c r="W59" s="198">
        <f>223540+2179471</f>
        <v>2403011</v>
      </c>
      <c r="X59" s="174">
        <f t="shared" si="1"/>
        <v>4201791</v>
      </c>
    </row>
    <row r="60" spans="1:24" s="78" customFormat="1" ht="12.75">
      <c r="A60" s="495"/>
      <c r="B60" s="184" t="s">
        <v>538</v>
      </c>
      <c r="C60" s="447"/>
      <c r="D60" s="447"/>
      <c r="E60" s="497"/>
      <c r="F60" s="449"/>
      <c r="G60" s="188">
        <v>0.02929</v>
      </c>
      <c r="H60" s="346">
        <v>10648.91</v>
      </c>
      <c r="I60" s="307">
        <f>21285+97765</f>
        <v>119050</v>
      </c>
      <c r="J60" s="307">
        <v>170555</v>
      </c>
      <c r="K60" s="307">
        <v>84925</v>
      </c>
      <c r="L60" s="307">
        <v>84685</v>
      </c>
      <c r="M60" s="307">
        <v>84165</v>
      </c>
      <c r="N60" s="307">
        <v>83360</v>
      </c>
      <c r="O60" s="307">
        <v>81810</v>
      </c>
      <c r="P60" s="307">
        <v>79600</v>
      </c>
      <c r="Q60" s="307">
        <v>75230</v>
      </c>
      <c r="R60" s="307">
        <v>70890</v>
      </c>
      <c r="S60" s="307">
        <v>66165</v>
      </c>
      <c r="T60" s="307">
        <v>61630</v>
      </c>
      <c r="U60" s="307">
        <v>57095</v>
      </c>
      <c r="V60" s="200">
        <v>52710</v>
      </c>
      <c r="W60" s="200">
        <f>48030+231125</f>
        <v>279155</v>
      </c>
      <c r="X60" s="175">
        <f t="shared" si="1"/>
        <v>1461673.9100000001</v>
      </c>
    </row>
    <row r="61" spans="1:24" s="78" customFormat="1" ht="21" customHeight="1">
      <c r="A61" s="494">
        <v>28</v>
      </c>
      <c r="B61" s="164" t="s">
        <v>475</v>
      </c>
      <c r="C61" s="446" t="s">
        <v>539</v>
      </c>
      <c r="D61" s="446">
        <v>657</v>
      </c>
      <c r="E61" s="501">
        <v>546548</v>
      </c>
      <c r="F61" s="448" t="s">
        <v>540</v>
      </c>
      <c r="G61" s="193" t="s">
        <v>478</v>
      </c>
      <c r="H61" s="313">
        <f>2250+1124.47</f>
        <v>3374.4700000000003</v>
      </c>
      <c r="I61" s="198">
        <v>8000</v>
      </c>
      <c r="J61" s="198">
        <v>70472</v>
      </c>
      <c r="K61" s="198">
        <v>70472</v>
      </c>
      <c r="L61" s="198">
        <v>70472</v>
      </c>
      <c r="M61" s="198">
        <v>70472</v>
      </c>
      <c r="N61" s="199">
        <f>52844-5352.46-2293.91-53.55-22.95-1124.47</f>
        <v>43996.66</v>
      </c>
      <c r="O61" s="198"/>
      <c r="P61" s="198"/>
      <c r="Q61" s="198"/>
      <c r="R61" s="198"/>
      <c r="S61" s="304"/>
      <c r="T61" s="304"/>
      <c r="U61" s="304"/>
      <c r="V61" s="306"/>
      <c r="W61" s="306"/>
      <c r="X61" s="174">
        <f t="shared" si="1"/>
        <v>337259.13</v>
      </c>
    </row>
    <row r="62" spans="1:24" s="78" customFormat="1" ht="18" customHeight="1">
      <c r="A62" s="495"/>
      <c r="B62" s="184" t="s">
        <v>541</v>
      </c>
      <c r="C62" s="447"/>
      <c r="D62" s="447"/>
      <c r="E62" s="502"/>
      <c r="F62" s="449"/>
      <c r="G62" s="185">
        <v>0.0025</v>
      </c>
      <c r="H62" s="310">
        <v>854.25</v>
      </c>
      <c r="I62" s="200">
        <f>10160-30</f>
        <v>10130</v>
      </c>
      <c r="J62" s="200">
        <f>9545-35</f>
        <v>9510</v>
      </c>
      <c r="K62" s="200">
        <f>4985-25</f>
        <v>4960</v>
      </c>
      <c r="L62" s="200">
        <f>3555-25</f>
        <v>3530</v>
      </c>
      <c r="M62" s="200">
        <f>2125-20</f>
        <v>2105</v>
      </c>
      <c r="N62" s="200">
        <f>705-25</f>
        <v>680</v>
      </c>
      <c r="O62" s="200"/>
      <c r="P62" s="200"/>
      <c r="Q62" s="200"/>
      <c r="R62" s="200"/>
      <c r="S62" s="307"/>
      <c r="T62" s="307"/>
      <c r="U62" s="307"/>
      <c r="V62" s="307"/>
      <c r="W62" s="307"/>
      <c r="X62" s="175">
        <f>SUM(H62:W62)</f>
        <v>31769.25</v>
      </c>
    </row>
    <row r="63" spans="1:24" s="78" customFormat="1" ht="21" customHeight="1">
      <c r="A63" s="494">
        <v>29</v>
      </c>
      <c r="B63" s="164" t="s">
        <v>475</v>
      </c>
      <c r="C63" s="446" t="s">
        <v>542</v>
      </c>
      <c r="D63" s="446">
        <v>658</v>
      </c>
      <c r="E63" s="496">
        <f>149917-0.42</f>
        <v>149916.58</v>
      </c>
      <c r="F63" s="448" t="s">
        <v>543</v>
      </c>
      <c r="G63" s="193" t="s">
        <v>478</v>
      </c>
      <c r="H63" s="199">
        <v>1000</v>
      </c>
      <c r="I63" s="198">
        <v>1000</v>
      </c>
      <c r="J63" s="198">
        <v>2000</v>
      </c>
      <c r="K63" s="198">
        <v>2000</v>
      </c>
      <c r="L63" s="198">
        <v>11272</v>
      </c>
      <c r="M63" s="198">
        <v>11272</v>
      </c>
      <c r="N63" s="198">
        <v>11272</v>
      </c>
      <c r="O63" s="198">
        <v>11272</v>
      </c>
      <c r="P63" s="198">
        <v>11272</v>
      </c>
      <c r="Q63" s="198">
        <v>11272</v>
      </c>
      <c r="R63" s="198">
        <v>11272</v>
      </c>
      <c r="S63" s="198">
        <v>11272</v>
      </c>
      <c r="T63" s="198">
        <f>11272</f>
        <v>11272</v>
      </c>
      <c r="U63" s="198">
        <v>11272</v>
      </c>
      <c r="V63" s="199">
        <v>11272</v>
      </c>
      <c r="W63" s="199">
        <f>11272+8452.58</f>
        <v>19724.58</v>
      </c>
      <c r="X63" s="174">
        <f t="shared" si="1"/>
        <v>149716.58000000002</v>
      </c>
    </row>
    <row r="64" spans="1:24" s="78" customFormat="1" ht="18" customHeight="1">
      <c r="A64" s="495"/>
      <c r="B64" s="184" t="s">
        <v>781</v>
      </c>
      <c r="C64" s="447"/>
      <c r="D64" s="447"/>
      <c r="E64" s="497"/>
      <c r="F64" s="449"/>
      <c r="G64" s="185">
        <v>0.0025</v>
      </c>
      <c r="H64" s="310">
        <v>379.02</v>
      </c>
      <c r="I64" s="200">
        <v>5275</v>
      </c>
      <c r="J64" s="200">
        <v>5245</v>
      </c>
      <c r="K64" s="200">
        <v>2950</v>
      </c>
      <c r="L64" s="200">
        <v>2870</v>
      </c>
      <c r="M64" s="200">
        <v>2655</v>
      </c>
      <c r="N64" s="200">
        <v>2430</v>
      </c>
      <c r="O64" s="200">
        <v>2195</v>
      </c>
      <c r="P64" s="200">
        <v>1965</v>
      </c>
      <c r="Q64" s="200">
        <v>1740</v>
      </c>
      <c r="R64" s="200">
        <v>1515</v>
      </c>
      <c r="S64" s="200">
        <v>1280</v>
      </c>
      <c r="T64" s="200">
        <v>1050</v>
      </c>
      <c r="U64" s="200">
        <v>825</v>
      </c>
      <c r="V64" s="200">
        <v>595</v>
      </c>
      <c r="W64" s="200">
        <f>365+140</f>
        <v>505</v>
      </c>
      <c r="X64" s="175">
        <f t="shared" si="1"/>
        <v>33474.020000000004</v>
      </c>
    </row>
    <row r="65" spans="1:24" s="78" customFormat="1" ht="12.75">
      <c r="A65" s="494">
        <v>30</v>
      </c>
      <c r="B65" s="164" t="s">
        <v>475</v>
      </c>
      <c r="C65" s="446" t="s">
        <v>254</v>
      </c>
      <c r="D65" s="446">
        <v>660</v>
      </c>
      <c r="E65" s="496">
        <f>2825528-170000-458838.25</f>
        <v>2196689.75</v>
      </c>
      <c r="F65" s="448" t="s">
        <v>544</v>
      </c>
      <c r="G65" s="193" t="s">
        <v>478</v>
      </c>
      <c r="H65" s="306">
        <v>3000.5</v>
      </c>
      <c r="I65" s="304">
        <v>5000</v>
      </c>
      <c r="J65" s="304">
        <v>5000</v>
      </c>
      <c r="K65" s="304">
        <v>5000</v>
      </c>
      <c r="L65" s="304">
        <v>10000</v>
      </c>
      <c r="M65" s="304">
        <v>15000</v>
      </c>
      <c r="N65" s="306">
        <v>92432</v>
      </c>
      <c r="O65" s="306">
        <v>92432</v>
      </c>
      <c r="P65" s="306">
        <v>92432</v>
      </c>
      <c r="Q65" s="306">
        <v>92432</v>
      </c>
      <c r="R65" s="306">
        <v>92432</v>
      </c>
      <c r="S65" s="306">
        <v>92432</v>
      </c>
      <c r="T65" s="306">
        <v>92432</v>
      </c>
      <c r="U65" s="306">
        <v>92432</v>
      </c>
      <c r="V65" s="306">
        <v>92432</v>
      </c>
      <c r="W65" s="306">
        <f>92432+1039888</f>
        <v>1132320</v>
      </c>
      <c r="X65" s="174">
        <f t="shared" si="1"/>
        <v>2007208.5</v>
      </c>
    </row>
    <row r="66" spans="1:24" s="78" customFormat="1" ht="12.75">
      <c r="A66" s="495"/>
      <c r="B66" s="184" t="s">
        <v>545</v>
      </c>
      <c r="C66" s="447"/>
      <c r="D66" s="447"/>
      <c r="E66" s="497"/>
      <c r="F66" s="449"/>
      <c r="G66" s="188">
        <v>0.00277</v>
      </c>
      <c r="H66" s="346">
        <v>5360.48</v>
      </c>
      <c r="I66" s="307">
        <v>62175</v>
      </c>
      <c r="J66" s="307">
        <v>81270</v>
      </c>
      <c r="K66" s="307">
        <v>40425</v>
      </c>
      <c r="L66" s="307">
        <v>40300</v>
      </c>
      <c r="M66" s="307">
        <v>40085</v>
      </c>
      <c r="N66" s="307">
        <v>39565</v>
      </c>
      <c r="O66" s="307">
        <v>37670</v>
      </c>
      <c r="P66" s="307">
        <v>35795</v>
      </c>
      <c r="Q66" s="307">
        <v>33920</v>
      </c>
      <c r="R66" s="307">
        <v>32135</v>
      </c>
      <c r="S66" s="307">
        <v>30170</v>
      </c>
      <c r="T66" s="307">
        <v>28295</v>
      </c>
      <c r="U66" s="307">
        <v>26425</v>
      </c>
      <c r="V66" s="307">
        <v>24615</v>
      </c>
      <c r="W66" s="307">
        <f>22675+126095</f>
        <v>148770</v>
      </c>
      <c r="X66" s="175">
        <f t="shared" si="1"/>
        <v>706975.48</v>
      </c>
    </row>
    <row r="67" spans="1:24" s="78" customFormat="1" ht="12.75">
      <c r="A67" s="494">
        <v>31</v>
      </c>
      <c r="B67" s="164" t="s">
        <v>475</v>
      </c>
      <c r="C67" s="446" t="s">
        <v>381</v>
      </c>
      <c r="D67" s="446">
        <v>661</v>
      </c>
      <c r="E67" s="496">
        <v>1946578</v>
      </c>
      <c r="F67" s="448" t="s">
        <v>546</v>
      </c>
      <c r="G67" s="193" t="s">
        <v>478</v>
      </c>
      <c r="H67" s="199">
        <v>3000.43</v>
      </c>
      <c r="I67" s="198">
        <v>5000</v>
      </c>
      <c r="J67" s="198">
        <v>5000</v>
      </c>
      <c r="K67" s="198">
        <v>5000</v>
      </c>
      <c r="L67" s="198">
        <v>10000</v>
      </c>
      <c r="M67" s="198">
        <v>15000</v>
      </c>
      <c r="N67" s="198">
        <v>73732</v>
      </c>
      <c r="O67" s="198">
        <v>73732</v>
      </c>
      <c r="P67" s="198">
        <v>73732</v>
      </c>
      <c r="Q67" s="198">
        <v>73732</v>
      </c>
      <c r="R67" s="198">
        <v>73732</v>
      </c>
      <c r="S67" s="198">
        <v>73732</v>
      </c>
      <c r="T67" s="198">
        <v>73732</v>
      </c>
      <c r="U67" s="198">
        <v>73732</v>
      </c>
      <c r="V67" s="199">
        <v>73732</v>
      </c>
      <c r="W67" s="199">
        <f>73732+829512</f>
        <v>903244</v>
      </c>
      <c r="X67" s="174">
        <f t="shared" si="1"/>
        <v>1609832.43</v>
      </c>
    </row>
    <row r="68" spans="1:24" s="78" customFormat="1" ht="12.75">
      <c r="A68" s="495"/>
      <c r="B68" s="184" t="s">
        <v>547</v>
      </c>
      <c r="C68" s="447"/>
      <c r="D68" s="447"/>
      <c r="E68" s="497"/>
      <c r="F68" s="449"/>
      <c r="G68" s="188">
        <v>0.00585</v>
      </c>
      <c r="H68" s="310">
        <v>6250.38</v>
      </c>
      <c r="I68" s="200">
        <v>37385</v>
      </c>
      <c r="J68" s="200">
        <v>65110</v>
      </c>
      <c r="K68" s="200">
        <v>32365</v>
      </c>
      <c r="L68" s="200">
        <v>32245</v>
      </c>
      <c r="M68" s="200">
        <v>32025</v>
      </c>
      <c r="N68" s="200">
        <v>31565</v>
      </c>
      <c r="O68" s="200">
        <v>30050</v>
      </c>
      <c r="P68" s="200">
        <v>28555</v>
      </c>
      <c r="Q68" s="200">
        <v>27060</v>
      </c>
      <c r="R68" s="200">
        <v>25635</v>
      </c>
      <c r="S68" s="200">
        <v>24070</v>
      </c>
      <c r="T68" s="200">
        <v>22575</v>
      </c>
      <c r="U68" s="200">
        <v>21080</v>
      </c>
      <c r="V68" s="200">
        <v>19635</v>
      </c>
      <c r="W68" s="200">
        <f>18090+100585</f>
        <v>118675</v>
      </c>
      <c r="X68" s="175">
        <f t="shared" si="1"/>
        <v>554280.38</v>
      </c>
    </row>
    <row r="69" spans="1:24" s="78" customFormat="1" ht="21" customHeight="1">
      <c r="A69" s="494">
        <v>32</v>
      </c>
      <c r="B69" s="164" t="s">
        <v>475</v>
      </c>
      <c r="C69" s="446" t="s">
        <v>253</v>
      </c>
      <c r="D69" s="446">
        <v>662</v>
      </c>
      <c r="E69" s="496">
        <f>2100900-400000-20542</f>
        <v>1680358</v>
      </c>
      <c r="F69" s="448" t="s">
        <v>548</v>
      </c>
      <c r="G69" s="193" t="s">
        <v>478</v>
      </c>
      <c r="H69" s="199">
        <v>3000.32</v>
      </c>
      <c r="I69" s="198">
        <v>6000</v>
      </c>
      <c r="J69" s="198">
        <v>10000</v>
      </c>
      <c r="K69" s="198">
        <v>20000</v>
      </c>
      <c r="L69" s="198">
        <v>43956</v>
      </c>
      <c r="M69" s="198">
        <v>43956</v>
      </c>
      <c r="N69" s="198">
        <v>43956</v>
      </c>
      <c r="O69" s="198">
        <v>43956</v>
      </c>
      <c r="P69" s="198">
        <v>43956</v>
      </c>
      <c r="Q69" s="198">
        <v>43956</v>
      </c>
      <c r="R69" s="198">
        <v>43956</v>
      </c>
      <c r="S69" s="198">
        <v>43956</v>
      </c>
      <c r="T69" s="198">
        <v>43956</v>
      </c>
      <c r="U69" s="198">
        <v>43956</v>
      </c>
      <c r="V69" s="198">
        <v>43956</v>
      </c>
      <c r="W69" s="198">
        <f>43956+494488</f>
        <v>538444</v>
      </c>
      <c r="X69" s="174">
        <f t="shared" si="1"/>
        <v>1060960.32</v>
      </c>
    </row>
    <row r="70" spans="1:24" s="78" customFormat="1" ht="21" customHeight="1">
      <c r="A70" s="495"/>
      <c r="B70" s="184" t="s">
        <v>549</v>
      </c>
      <c r="C70" s="447"/>
      <c r="D70" s="447"/>
      <c r="E70" s="497"/>
      <c r="F70" s="449"/>
      <c r="G70" s="209">
        <v>0.01658</v>
      </c>
      <c r="H70" s="349">
        <v>7041</v>
      </c>
      <c r="I70" s="309">
        <v>30335</v>
      </c>
      <c r="J70" s="309">
        <v>42710</v>
      </c>
      <c r="K70" s="309">
        <v>21055</v>
      </c>
      <c r="L70" s="309">
        <v>20560</v>
      </c>
      <c r="M70" s="309">
        <v>19695</v>
      </c>
      <c r="N70" s="309">
        <v>18855</v>
      </c>
      <c r="O70" s="309">
        <v>17915</v>
      </c>
      <c r="P70" s="309">
        <v>17025</v>
      </c>
      <c r="Q70" s="309">
        <v>16130</v>
      </c>
      <c r="R70" s="309">
        <v>15280</v>
      </c>
      <c r="S70" s="309">
        <v>14350</v>
      </c>
      <c r="T70" s="309">
        <v>13460</v>
      </c>
      <c r="U70" s="309">
        <v>12565</v>
      </c>
      <c r="V70" s="309">
        <v>11705</v>
      </c>
      <c r="W70" s="309">
        <f>10785+59955</f>
        <v>70740</v>
      </c>
      <c r="X70" s="175">
        <f t="shared" si="1"/>
        <v>349421</v>
      </c>
    </row>
    <row r="71" spans="1:24" s="78" customFormat="1" ht="12.75">
      <c r="A71" s="494">
        <v>33</v>
      </c>
      <c r="B71" s="164" t="s">
        <v>475</v>
      </c>
      <c r="C71" s="446" t="s">
        <v>550</v>
      </c>
      <c r="D71" s="446">
        <v>663</v>
      </c>
      <c r="E71" s="496">
        <f>10367403-84075.7</f>
        <v>10283327.3</v>
      </c>
      <c r="F71" s="448" t="s">
        <v>551</v>
      </c>
      <c r="G71" s="193" t="s">
        <v>478</v>
      </c>
      <c r="H71" s="199">
        <v>3000.3</v>
      </c>
      <c r="I71" s="198">
        <v>6000</v>
      </c>
      <c r="J71" s="198">
        <v>10000</v>
      </c>
      <c r="K71" s="198">
        <v>20000</v>
      </c>
      <c r="L71" s="198">
        <v>28000</v>
      </c>
      <c r="M71" s="198">
        <v>40000</v>
      </c>
      <c r="N71" s="198">
        <v>80000</v>
      </c>
      <c r="O71" s="198">
        <v>200000</v>
      </c>
      <c r="P71" s="198">
        <v>400000</v>
      </c>
      <c r="Q71" s="198">
        <v>520348</v>
      </c>
      <c r="R71" s="198">
        <v>520348</v>
      </c>
      <c r="S71" s="198">
        <v>520348</v>
      </c>
      <c r="T71" s="198">
        <v>520348</v>
      </c>
      <c r="U71" s="198">
        <v>520348</v>
      </c>
      <c r="V71" s="198">
        <v>520348</v>
      </c>
      <c r="W71" s="198">
        <f>520348+5853891</f>
        <v>6374239</v>
      </c>
      <c r="X71" s="174">
        <f aca="true" t="shared" si="2" ref="X71:X112">SUM(H71:W71)</f>
        <v>10283327.3</v>
      </c>
    </row>
    <row r="72" spans="1:24" s="78" customFormat="1" ht="12.75">
      <c r="A72" s="495"/>
      <c r="B72" s="184" t="s">
        <v>552</v>
      </c>
      <c r="C72" s="447"/>
      <c r="D72" s="447"/>
      <c r="E72" s="497"/>
      <c r="F72" s="449"/>
      <c r="G72" s="188">
        <v>0.02473</v>
      </c>
      <c r="H72" s="310">
        <v>34952.98</v>
      </c>
      <c r="I72" s="200">
        <v>297845</v>
      </c>
      <c r="J72" s="200">
        <v>417755</v>
      </c>
      <c r="K72" s="200">
        <v>208065</v>
      </c>
      <c r="L72" s="200">
        <v>207640</v>
      </c>
      <c r="M72" s="200">
        <v>207030</v>
      </c>
      <c r="N72" s="200">
        <v>206625</v>
      </c>
      <c r="O72" s="200">
        <v>203975</v>
      </c>
      <c r="P72" s="200">
        <v>199200</v>
      </c>
      <c r="Q72" s="200">
        <v>190805</v>
      </c>
      <c r="R72" s="200">
        <v>180890</v>
      </c>
      <c r="S72" s="200">
        <v>169840</v>
      </c>
      <c r="T72" s="200">
        <v>159285</v>
      </c>
      <c r="U72" s="200">
        <v>148735</v>
      </c>
      <c r="V72" s="200">
        <v>138565</v>
      </c>
      <c r="W72" s="200">
        <f>127630+709800</f>
        <v>837430</v>
      </c>
      <c r="X72" s="175">
        <f t="shared" si="2"/>
        <v>3808637.98</v>
      </c>
    </row>
    <row r="73" spans="1:24" s="78" customFormat="1" ht="12.75">
      <c r="A73" s="494">
        <v>34</v>
      </c>
      <c r="B73" s="164" t="s">
        <v>475</v>
      </c>
      <c r="C73" s="446" t="s">
        <v>241</v>
      </c>
      <c r="D73" s="446">
        <v>665</v>
      </c>
      <c r="E73" s="496">
        <f>158248.54+2664102</f>
        <v>2822350.54</v>
      </c>
      <c r="F73" s="448" t="s">
        <v>551</v>
      </c>
      <c r="G73" s="193" t="s">
        <v>478</v>
      </c>
      <c r="H73" s="199">
        <v>3002.69</v>
      </c>
      <c r="I73" s="198">
        <v>6000</v>
      </c>
      <c r="J73" s="198">
        <v>8000</v>
      </c>
      <c r="K73" s="198">
        <v>16000</v>
      </c>
      <c r="L73" s="198">
        <v>32000</v>
      </c>
      <c r="M73" s="198">
        <v>60000</v>
      </c>
      <c r="N73" s="198">
        <v>80000</v>
      </c>
      <c r="O73" s="198">
        <v>93944</v>
      </c>
      <c r="P73" s="198">
        <v>93944</v>
      </c>
      <c r="Q73" s="198">
        <v>93944</v>
      </c>
      <c r="R73" s="198">
        <v>93944</v>
      </c>
      <c r="S73" s="198">
        <v>93944</v>
      </c>
      <c r="T73" s="198">
        <v>93944</v>
      </c>
      <c r="U73" s="198">
        <v>93944</v>
      </c>
      <c r="V73" s="198">
        <v>93944</v>
      </c>
      <c r="W73" s="199">
        <f>93944+1056870</f>
        <v>1150814</v>
      </c>
      <c r="X73" s="174">
        <f t="shared" si="2"/>
        <v>2107368.69</v>
      </c>
    </row>
    <row r="74" spans="1:24" s="78" customFormat="1" ht="12.75">
      <c r="A74" s="495"/>
      <c r="B74" s="184" t="s">
        <v>553</v>
      </c>
      <c r="C74" s="447"/>
      <c r="D74" s="447"/>
      <c r="E74" s="497"/>
      <c r="F74" s="449"/>
      <c r="G74" s="188">
        <v>0.02473</v>
      </c>
      <c r="H74" s="310">
        <v>7509.03</v>
      </c>
      <c r="I74" s="200">
        <v>60940</v>
      </c>
      <c r="J74" s="200">
        <v>85280</v>
      </c>
      <c r="K74" s="200">
        <v>42330</v>
      </c>
      <c r="L74" s="200">
        <v>41950</v>
      </c>
      <c r="M74" s="200">
        <v>41200</v>
      </c>
      <c r="N74" s="200">
        <v>40040</v>
      </c>
      <c r="O74" s="200">
        <v>38270</v>
      </c>
      <c r="P74" s="200">
        <v>36380</v>
      </c>
      <c r="Q74" s="200">
        <v>34475</v>
      </c>
      <c r="R74" s="200">
        <v>32660</v>
      </c>
      <c r="S74" s="200">
        <v>30665</v>
      </c>
      <c r="T74" s="200">
        <v>28760</v>
      </c>
      <c r="U74" s="200">
        <v>26855</v>
      </c>
      <c r="V74" s="200">
        <v>25020</v>
      </c>
      <c r="W74" s="200">
        <f>23045+128150</f>
        <v>151195</v>
      </c>
      <c r="X74" s="175">
        <f t="shared" si="2"/>
        <v>723529.03</v>
      </c>
    </row>
    <row r="75" spans="1:24" s="78" customFormat="1" ht="12.75">
      <c r="A75" s="494">
        <v>35</v>
      </c>
      <c r="B75" s="164" t="s">
        <v>475</v>
      </c>
      <c r="C75" s="446" t="s">
        <v>554</v>
      </c>
      <c r="D75" s="446">
        <v>666</v>
      </c>
      <c r="E75" s="496">
        <f>663930-19547.23</f>
        <v>644382.77</v>
      </c>
      <c r="F75" s="448" t="s">
        <v>551</v>
      </c>
      <c r="G75" s="193" t="s">
        <v>478</v>
      </c>
      <c r="H75" s="199">
        <v>3000.77</v>
      </c>
      <c r="I75" s="198">
        <v>6000</v>
      </c>
      <c r="J75" s="198">
        <v>10000</v>
      </c>
      <c r="K75" s="198">
        <v>20000</v>
      </c>
      <c r="L75" s="198">
        <v>26040</v>
      </c>
      <c r="M75" s="198">
        <v>26040</v>
      </c>
      <c r="N75" s="198">
        <v>26040</v>
      </c>
      <c r="O75" s="198">
        <v>26040</v>
      </c>
      <c r="P75" s="198">
        <v>26040</v>
      </c>
      <c r="Q75" s="198">
        <v>26040</v>
      </c>
      <c r="R75" s="198">
        <v>26040</v>
      </c>
      <c r="S75" s="198">
        <v>26040</v>
      </c>
      <c r="T75" s="198">
        <v>26040</v>
      </c>
      <c r="U75" s="198">
        <v>26040</v>
      </c>
      <c r="V75" s="198">
        <v>26040</v>
      </c>
      <c r="W75" s="198">
        <f>26040+292902</f>
        <v>318942</v>
      </c>
      <c r="X75" s="174">
        <f t="shared" si="2"/>
        <v>644382.77</v>
      </c>
    </row>
    <row r="76" spans="1:24" s="78" customFormat="1" ht="12.75">
      <c r="A76" s="495"/>
      <c r="B76" s="184" t="s">
        <v>555</v>
      </c>
      <c r="C76" s="447"/>
      <c r="D76" s="447"/>
      <c r="E76" s="497"/>
      <c r="F76" s="449"/>
      <c r="G76" s="188">
        <v>0.02473</v>
      </c>
      <c r="H76" s="310">
        <v>2188.07</v>
      </c>
      <c r="I76" s="200">
        <v>18550</v>
      </c>
      <c r="J76" s="200">
        <v>25770</v>
      </c>
      <c r="K76" s="200">
        <v>12610</v>
      </c>
      <c r="L76" s="200">
        <v>12190</v>
      </c>
      <c r="M76" s="200">
        <v>11670</v>
      </c>
      <c r="N76" s="200">
        <v>11170</v>
      </c>
      <c r="O76" s="200">
        <v>10615</v>
      </c>
      <c r="P76" s="200">
        <v>10085</v>
      </c>
      <c r="Q76" s="200">
        <v>9555</v>
      </c>
      <c r="R76" s="200">
        <v>9055</v>
      </c>
      <c r="S76" s="200">
        <v>8500</v>
      </c>
      <c r="T76" s="200">
        <v>7970</v>
      </c>
      <c r="U76" s="200">
        <v>7445</v>
      </c>
      <c r="V76" s="200">
        <v>6935</v>
      </c>
      <c r="W76" s="200">
        <f>6390+35510</f>
        <v>41900</v>
      </c>
      <c r="X76" s="175">
        <f t="shared" si="2"/>
        <v>206208.07</v>
      </c>
    </row>
    <row r="77" spans="1:24" s="78" customFormat="1" ht="12.75">
      <c r="A77" s="494">
        <v>36</v>
      </c>
      <c r="B77" s="164" t="s">
        <v>475</v>
      </c>
      <c r="C77" s="446" t="s">
        <v>712</v>
      </c>
      <c r="D77" s="446">
        <v>668</v>
      </c>
      <c r="E77" s="496">
        <v>352110</v>
      </c>
      <c r="F77" s="448" t="s">
        <v>556</v>
      </c>
      <c r="G77" s="350" t="s">
        <v>478</v>
      </c>
      <c r="H77" s="199"/>
      <c r="I77" s="198">
        <v>10142</v>
      </c>
      <c r="J77" s="198">
        <v>20416</v>
      </c>
      <c r="K77" s="198">
        <v>20416</v>
      </c>
      <c r="L77" s="198">
        <v>20416</v>
      </c>
      <c r="M77" s="198">
        <v>20416</v>
      </c>
      <c r="N77" s="198">
        <v>20416</v>
      </c>
      <c r="O77" s="198">
        <v>20416</v>
      </c>
      <c r="P77" s="198">
        <v>20416</v>
      </c>
      <c r="Q77" s="198">
        <v>20416</v>
      </c>
      <c r="R77" s="198">
        <v>20416</v>
      </c>
      <c r="S77" s="198">
        <v>20416</v>
      </c>
      <c r="T77" s="198">
        <v>20416</v>
      </c>
      <c r="U77" s="198">
        <v>20416</v>
      </c>
      <c r="V77" s="198">
        <v>20416</v>
      </c>
      <c r="W77" s="198">
        <f>20416+56144</f>
        <v>76560</v>
      </c>
      <c r="X77" s="174">
        <f t="shared" si="2"/>
        <v>352110</v>
      </c>
    </row>
    <row r="78" spans="1:24" s="78" customFormat="1" ht="12.75">
      <c r="A78" s="495"/>
      <c r="B78" s="184" t="s">
        <v>557</v>
      </c>
      <c r="C78" s="447"/>
      <c r="D78" s="447"/>
      <c r="E78" s="497"/>
      <c r="F78" s="449"/>
      <c r="G78" s="188">
        <f>1.661%</f>
        <v>0.01661</v>
      </c>
      <c r="H78" s="310">
        <v>1692.95</v>
      </c>
      <c r="I78" s="200">
        <v>7580</v>
      </c>
      <c r="J78" s="200">
        <v>12060</v>
      </c>
      <c r="K78" s="200">
        <v>6460</v>
      </c>
      <c r="L78" s="200">
        <v>6045</v>
      </c>
      <c r="M78" s="200">
        <v>5630</v>
      </c>
      <c r="N78" s="200">
        <v>5230</v>
      </c>
      <c r="O78" s="200">
        <v>4800</v>
      </c>
      <c r="P78" s="200">
        <v>4390</v>
      </c>
      <c r="Q78" s="200">
        <v>3975</v>
      </c>
      <c r="R78" s="200">
        <v>3570</v>
      </c>
      <c r="S78" s="200">
        <v>3145</v>
      </c>
      <c r="T78" s="200">
        <v>2735</v>
      </c>
      <c r="U78" s="200">
        <v>2320</v>
      </c>
      <c r="V78" s="200">
        <v>1910</v>
      </c>
      <c r="W78" s="200">
        <f>1490+1985</f>
        <v>3475</v>
      </c>
      <c r="X78" s="175">
        <f t="shared" si="2"/>
        <v>75017.95</v>
      </c>
    </row>
    <row r="79" spans="1:24" s="134" customFormat="1" ht="12.75">
      <c r="A79" s="494">
        <v>37</v>
      </c>
      <c r="B79" s="164" t="s">
        <v>475</v>
      </c>
      <c r="C79" s="446" t="s">
        <v>713</v>
      </c>
      <c r="D79" s="446">
        <v>669</v>
      </c>
      <c r="E79" s="496">
        <v>403410</v>
      </c>
      <c r="F79" s="448" t="s">
        <v>556</v>
      </c>
      <c r="G79" s="193" t="s">
        <v>478</v>
      </c>
      <c r="H79" s="199"/>
      <c r="I79" s="198">
        <v>11661</v>
      </c>
      <c r="J79" s="198">
        <v>23388</v>
      </c>
      <c r="K79" s="198">
        <v>23388</v>
      </c>
      <c r="L79" s="198">
        <v>23388</v>
      </c>
      <c r="M79" s="198">
        <v>23388</v>
      </c>
      <c r="N79" s="198">
        <v>23388</v>
      </c>
      <c r="O79" s="198">
        <v>23388</v>
      </c>
      <c r="P79" s="198">
        <v>23388</v>
      </c>
      <c r="Q79" s="198">
        <v>23388</v>
      </c>
      <c r="R79" s="198">
        <v>23388</v>
      </c>
      <c r="S79" s="198">
        <v>23388</v>
      </c>
      <c r="T79" s="198">
        <v>23388</v>
      </c>
      <c r="U79" s="198">
        <v>23388</v>
      </c>
      <c r="V79" s="198">
        <v>23388</v>
      </c>
      <c r="W79" s="198">
        <f>23388+64317</f>
        <v>87705</v>
      </c>
      <c r="X79" s="174">
        <f t="shared" si="2"/>
        <v>403410</v>
      </c>
    </row>
    <row r="80" spans="1:24" s="134" customFormat="1" ht="12.75">
      <c r="A80" s="495"/>
      <c r="B80" s="184" t="s">
        <v>558</v>
      </c>
      <c r="C80" s="447"/>
      <c r="D80" s="447"/>
      <c r="E80" s="497"/>
      <c r="F80" s="449"/>
      <c r="G80" s="188">
        <f>1.661%</f>
        <v>0.01661</v>
      </c>
      <c r="H80" s="310">
        <v>1939.59</v>
      </c>
      <c r="I80" s="200">
        <v>8685</v>
      </c>
      <c r="J80" s="200">
        <v>13815</v>
      </c>
      <c r="K80" s="200">
        <v>7400</v>
      </c>
      <c r="L80" s="200">
        <v>6925</v>
      </c>
      <c r="M80" s="200">
        <v>6450</v>
      </c>
      <c r="N80" s="200">
        <v>5995</v>
      </c>
      <c r="O80" s="200">
        <v>5500</v>
      </c>
      <c r="P80" s="200">
        <v>5025</v>
      </c>
      <c r="Q80" s="200">
        <v>4555</v>
      </c>
      <c r="R80" s="200">
        <v>4090</v>
      </c>
      <c r="S80" s="200">
        <v>3605</v>
      </c>
      <c r="T80" s="200">
        <v>3130</v>
      </c>
      <c r="U80" s="200">
        <v>2655</v>
      </c>
      <c r="V80" s="200">
        <v>2190</v>
      </c>
      <c r="W80" s="200">
        <f>1710+2275</f>
        <v>3985</v>
      </c>
      <c r="X80" s="175">
        <f t="shared" si="2"/>
        <v>85944.59</v>
      </c>
    </row>
    <row r="81" spans="1:24" s="134" customFormat="1" ht="12.75">
      <c r="A81" s="494">
        <v>38</v>
      </c>
      <c r="B81" s="164" t="s">
        <v>475</v>
      </c>
      <c r="C81" s="446" t="s">
        <v>559</v>
      </c>
      <c r="D81" s="446">
        <v>670</v>
      </c>
      <c r="E81" s="496">
        <f>848543-24.81</f>
        <v>848518.19</v>
      </c>
      <c r="F81" s="448" t="s">
        <v>560</v>
      </c>
      <c r="G81" s="193" t="s">
        <v>478</v>
      </c>
      <c r="H81" s="199"/>
      <c r="I81" s="199">
        <v>500.47</v>
      </c>
      <c r="J81" s="198">
        <v>2000</v>
      </c>
      <c r="K81" s="198">
        <v>4000</v>
      </c>
      <c r="L81" s="198">
        <v>8000</v>
      </c>
      <c r="M81" s="198">
        <v>20000</v>
      </c>
      <c r="N81" s="198">
        <f>36180-14188</f>
        <v>21992</v>
      </c>
      <c r="O81" s="198">
        <f aca="true" t="shared" si="3" ref="O81:U81">36180-14188</f>
        <v>21992</v>
      </c>
      <c r="P81" s="198">
        <f t="shared" si="3"/>
        <v>21992</v>
      </c>
      <c r="Q81" s="198">
        <f t="shared" si="3"/>
        <v>21992</v>
      </c>
      <c r="R81" s="198">
        <f t="shared" si="3"/>
        <v>21992</v>
      </c>
      <c r="S81" s="198">
        <f t="shared" si="3"/>
        <v>21992</v>
      </c>
      <c r="T81" s="198">
        <f t="shared" si="3"/>
        <v>21992</v>
      </c>
      <c r="U81" s="198">
        <f t="shared" si="3"/>
        <v>21992</v>
      </c>
      <c r="V81" s="199">
        <v>21992</v>
      </c>
      <c r="W81" s="199">
        <f>21992+274874</f>
        <v>296866</v>
      </c>
      <c r="X81" s="174">
        <f t="shared" si="2"/>
        <v>529294.47</v>
      </c>
    </row>
    <row r="82" spans="1:24" s="134" customFormat="1" ht="12.75">
      <c r="A82" s="495"/>
      <c r="B82" s="184" t="s">
        <v>561</v>
      </c>
      <c r="C82" s="447"/>
      <c r="D82" s="447"/>
      <c r="E82" s="497"/>
      <c r="F82" s="449"/>
      <c r="G82" s="188">
        <f>0.933%+1.258%</f>
        <v>0.02191</v>
      </c>
      <c r="H82" s="310">
        <v>3437.75</v>
      </c>
      <c r="I82" s="200">
        <v>14885</v>
      </c>
      <c r="J82" s="200">
        <v>24180</v>
      </c>
      <c r="K82" s="200">
        <v>10670</v>
      </c>
      <c r="L82" s="200">
        <v>10575</v>
      </c>
      <c r="M82" s="200">
        <v>10365</v>
      </c>
      <c r="N82" s="200">
        <v>9990</v>
      </c>
      <c r="O82" s="200">
        <v>9520</v>
      </c>
      <c r="P82" s="200">
        <v>9075</v>
      </c>
      <c r="Q82" s="200">
        <v>8630</v>
      </c>
      <c r="R82" s="200">
        <v>8205</v>
      </c>
      <c r="S82" s="200">
        <v>7735</v>
      </c>
      <c r="T82" s="200">
        <v>7290</v>
      </c>
      <c r="U82" s="200">
        <v>6845</v>
      </c>
      <c r="V82" s="200">
        <v>6415</v>
      </c>
      <c r="W82" s="200">
        <f>5955+36810</f>
        <v>42765</v>
      </c>
      <c r="X82" s="175">
        <f t="shared" si="2"/>
        <v>190582.75</v>
      </c>
    </row>
    <row r="83" spans="1:24" s="134" customFormat="1" ht="12.75">
      <c r="A83" s="494">
        <v>39</v>
      </c>
      <c r="B83" s="164" t="s">
        <v>475</v>
      </c>
      <c r="C83" s="446" t="s">
        <v>562</v>
      </c>
      <c r="D83" s="446">
        <v>671</v>
      </c>
      <c r="E83" s="496">
        <v>1904000</v>
      </c>
      <c r="F83" s="448" t="s">
        <v>563</v>
      </c>
      <c r="G83" s="193" t="s">
        <v>478</v>
      </c>
      <c r="H83" s="199"/>
      <c r="I83" s="198">
        <v>2000</v>
      </c>
      <c r="J83" s="198">
        <v>6000</v>
      </c>
      <c r="K83" s="198">
        <v>10000</v>
      </c>
      <c r="L83" s="198">
        <v>20000</v>
      </c>
      <c r="M83" s="198">
        <v>40000</v>
      </c>
      <c r="N83" s="198">
        <v>60000</v>
      </c>
      <c r="O83" s="198">
        <v>82140</v>
      </c>
      <c r="P83" s="198">
        <v>82140</v>
      </c>
      <c r="Q83" s="198">
        <v>82140</v>
      </c>
      <c r="R83" s="198">
        <v>82140</v>
      </c>
      <c r="S83" s="198">
        <v>82140</v>
      </c>
      <c r="T83" s="198">
        <v>82140</v>
      </c>
      <c r="U83" s="198">
        <v>82140</v>
      </c>
      <c r="V83" s="198">
        <v>82140</v>
      </c>
      <c r="W83" s="198">
        <f>82140+1026740</f>
        <v>1108880</v>
      </c>
      <c r="X83" s="174">
        <f t="shared" si="2"/>
        <v>1904000</v>
      </c>
    </row>
    <row r="84" spans="1:24" s="134" customFormat="1" ht="12.75">
      <c r="A84" s="495"/>
      <c r="B84" s="184" t="s">
        <v>564</v>
      </c>
      <c r="C84" s="447"/>
      <c r="D84" s="447"/>
      <c r="E84" s="497"/>
      <c r="F84" s="449"/>
      <c r="G84" s="188">
        <v>0.03471</v>
      </c>
      <c r="H84" s="310">
        <v>6024.44</v>
      </c>
      <c r="I84" s="200">
        <v>67005</v>
      </c>
      <c r="J84" s="200">
        <v>86970</v>
      </c>
      <c r="K84" s="200">
        <v>38415</v>
      </c>
      <c r="L84" s="200">
        <v>38175</v>
      </c>
      <c r="M84" s="200">
        <v>37695</v>
      </c>
      <c r="N84" s="200">
        <v>36920</v>
      </c>
      <c r="O84" s="200">
        <v>35530</v>
      </c>
      <c r="P84" s="200">
        <v>33890</v>
      </c>
      <c r="Q84" s="200">
        <v>32225</v>
      </c>
      <c r="R84" s="200">
        <v>30645</v>
      </c>
      <c r="S84" s="200">
        <v>28895</v>
      </c>
      <c r="T84" s="200">
        <v>27230</v>
      </c>
      <c r="U84" s="200">
        <v>25565</v>
      </c>
      <c r="V84" s="200">
        <v>23965</v>
      </c>
      <c r="W84" s="200">
        <f>22230+137495</f>
        <v>159725</v>
      </c>
      <c r="X84" s="175">
        <f t="shared" si="2"/>
        <v>708874.44</v>
      </c>
    </row>
    <row r="85" spans="1:24" s="134" customFormat="1" ht="12.75">
      <c r="A85" s="494">
        <v>40</v>
      </c>
      <c r="B85" s="164" t="s">
        <v>475</v>
      </c>
      <c r="C85" s="446" t="s">
        <v>565</v>
      </c>
      <c r="D85" s="446">
        <v>672</v>
      </c>
      <c r="E85" s="496">
        <f>142175-5157.95</f>
        <v>137017.05</v>
      </c>
      <c r="F85" s="448" t="s">
        <v>566</v>
      </c>
      <c r="G85" s="350" t="s">
        <v>478</v>
      </c>
      <c r="H85" s="199"/>
      <c r="I85" s="198">
        <v>3955.05</v>
      </c>
      <c r="J85" s="198">
        <v>7944</v>
      </c>
      <c r="K85" s="198">
        <v>7944</v>
      </c>
      <c r="L85" s="198">
        <v>7944</v>
      </c>
      <c r="M85" s="198">
        <v>7944</v>
      </c>
      <c r="N85" s="198">
        <v>7944</v>
      </c>
      <c r="O85" s="198">
        <v>7944</v>
      </c>
      <c r="P85" s="198">
        <v>7944</v>
      </c>
      <c r="Q85" s="198">
        <v>7944</v>
      </c>
      <c r="R85" s="198">
        <v>7944</v>
      </c>
      <c r="S85" s="198">
        <v>7944</v>
      </c>
      <c r="T85" s="198">
        <v>7944</v>
      </c>
      <c r="U85" s="198">
        <v>7944</v>
      </c>
      <c r="V85" s="198">
        <v>7944</v>
      </c>
      <c r="W85" s="198">
        <f>7944+21846</f>
        <v>29790</v>
      </c>
      <c r="X85" s="174">
        <f t="shared" si="2"/>
        <v>137017.05</v>
      </c>
    </row>
    <row r="86" spans="1:24" s="134" customFormat="1" ht="12.75">
      <c r="A86" s="495"/>
      <c r="B86" s="184" t="s">
        <v>567</v>
      </c>
      <c r="C86" s="447"/>
      <c r="D86" s="447"/>
      <c r="E86" s="497"/>
      <c r="F86" s="449"/>
      <c r="G86" s="188">
        <f>3.243%</f>
        <v>0.03243</v>
      </c>
      <c r="H86" s="310">
        <v>347.31</v>
      </c>
      <c r="I86" s="200">
        <v>4505</v>
      </c>
      <c r="J86" s="200">
        <v>4695</v>
      </c>
      <c r="K86" s="200">
        <v>2515</v>
      </c>
      <c r="L86" s="200">
        <v>2355</v>
      </c>
      <c r="M86" s="200">
        <v>2195</v>
      </c>
      <c r="N86" s="200">
        <v>2035</v>
      </c>
      <c r="O86" s="200">
        <v>1870</v>
      </c>
      <c r="P86" s="200">
        <v>1710</v>
      </c>
      <c r="Q86" s="200">
        <v>1550</v>
      </c>
      <c r="R86" s="200">
        <v>1390</v>
      </c>
      <c r="S86" s="200">
        <v>1225</v>
      </c>
      <c r="T86" s="200">
        <v>1065</v>
      </c>
      <c r="U86" s="200">
        <v>905</v>
      </c>
      <c r="V86" s="200">
        <v>745</v>
      </c>
      <c r="W86" s="200">
        <f>580+775</f>
        <v>1355</v>
      </c>
      <c r="X86" s="175">
        <f t="shared" si="2"/>
        <v>30462.31</v>
      </c>
    </row>
    <row r="87" spans="1:24" s="134" customFormat="1" ht="12.75">
      <c r="A87" s="494">
        <v>41</v>
      </c>
      <c r="B87" s="164" t="s">
        <v>475</v>
      </c>
      <c r="C87" s="446" t="s">
        <v>568</v>
      </c>
      <c r="D87" s="446">
        <v>673</v>
      </c>
      <c r="E87" s="496">
        <f>625075-48519.44</f>
        <v>576555.56</v>
      </c>
      <c r="F87" s="448" t="s">
        <v>569</v>
      </c>
      <c r="G87" s="193" t="s">
        <v>478</v>
      </c>
      <c r="H87" s="199"/>
      <c r="I87" s="199">
        <v>2000.56</v>
      </c>
      <c r="J87" s="198">
        <v>6000</v>
      </c>
      <c r="K87" s="198">
        <v>10000</v>
      </c>
      <c r="L87" s="198">
        <v>20000</v>
      </c>
      <c r="M87" s="198">
        <v>39892</v>
      </c>
      <c r="N87" s="198">
        <v>39892</v>
      </c>
      <c r="O87" s="198">
        <v>39892</v>
      </c>
      <c r="P87" s="198">
        <v>39892</v>
      </c>
      <c r="Q87" s="198">
        <v>39892</v>
      </c>
      <c r="R87" s="198">
        <v>39892</v>
      </c>
      <c r="S87" s="198">
        <v>39892</v>
      </c>
      <c r="T87" s="198">
        <v>39892</v>
      </c>
      <c r="U87" s="198">
        <v>39892</v>
      </c>
      <c r="V87" s="198">
        <v>39892</v>
      </c>
      <c r="W87" s="198">
        <f>39892+99743</f>
        <v>139635</v>
      </c>
      <c r="X87" s="174">
        <f t="shared" si="2"/>
        <v>576555.56</v>
      </c>
    </row>
    <row r="88" spans="1:24" s="134" customFormat="1" ht="12.75">
      <c r="A88" s="495"/>
      <c r="B88" s="184" t="s">
        <v>570</v>
      </c>
      <c r="C88" s="447"/>
      <c r="D88" s="447"/>
      <c r="E88" s="497"/>
      <c r="F88" s="449"/>
      <c r="G88" s="188">
        <f>3.243%</f>
        <v>0.03243</v>
      </c>
      <c r="H88" s="310">
        <v>1461.4</v>
      </c>
      <c r="I88" s="200">
        <v>18960</v>
      </c>
      <c r="J88" s="200">
        <v>20410</v>
      </c>
      <c r="K88" s="200">
        <v>11495</v>
      </c>
      <c r="L88" s="200">
        <v>11255</v>
      </c>
      <c r="M88" s="200">
        <v>10775</v>
      </c>
      <c r="N88" s="200">
        <v>10015</v>
      </c>
      <c r="O88" s="200">
        <v>9180</v>
      </c>
      <c r="P88" s="200">
        <v>8370</v>
      </c>
      <c r="Q88" s="200">
        <v>7565</v>
      </c>
      <c r="R88" s="200">
        <v>6770</v>
      </c>
      <c r="S88" s="200">
        <v>5945</v>
      </c>
      <c r="T88" s="200">
        <v>5135</v>
      </c>
      <c r="U88" s="200">
        <v>4325</v>
      </c>
      <c r="V88" s="200">
        <v>3530</v>
      </c>
      <c r="W88" s="200">
        <f>2710+3275</f>
        <v>5985</v>
      </c>
      <c r="X88" s="175">
        <f t="shared" si="2"/>
        <v>141176.4</v>
      </c>
    </row>
    <row r="89" spans="1:24" s="134" customFormat="1" ht="12.75">
      <c r="A89" s="494">
        <v>42</v>
      </c>
      <c r="B89" s="164" t="s">
        <v>475</v>
      </c>
      <c r="C89" s="446" t="s">
        <v>621</v>
      </c>
      <c r="D89" s="446">
        <v>675</v>
      </c>
      <c r="E89" s="496">
        <f>223252-340</f>
        <v>222912</v>
      </c>
      <c r="F89" s="448" t="s">
        <v>571</v>
      </c>
      <c r="G89" s="193" t="s">
        <v>478</v>
      </c>
      <c r="H89" s="199"/>
      <c r="I89" s="198">
        <v>3204</v>
      </c>
      <c r="J89" s="198">
        <v>12924</v>
      </c>
      <c r="K89" s="198">
        <v>12924</v>
      </c>
      <c r="L89" s="198">
        <v>12924</v>
      </c>
      <c r="M89" s="198">
        <v>12924</v>
      </c>
      <c r="N89" s="198">
        <v>12924</v>
      </c>
      <c r="O89" s="198">
        <v>12924</v>
      </c>
      <c r="P89" s="198">
        <v>12924</v>
      </c>
      <c r="Q89" s="198">
        <v>12924</v>
      </c>
      <c r="R89" s="198">
        <v>12924</v>
      </c>
      <c r="S89" s="198">
        <v>12924</v>
      </c>
      <c r="T89" s="198">
        <v>12924</v>
      </c>
      <c r="U89" s="198">
        <v>12924</v>
      </c>
      <c r="V89" s="198">
        <v>12924</v>
      </c>
      <c r="W89" s="198">
        <f>12924+38772</f>
        <v>51696</v>
      </c>
      <c r="X89" s="174">
        <f t="shared" si="2"/>
        <v>222912</v>
      </c>
    </row>
    <row r="90" spans="1:24" s="134" customFormat="1" ht="12.75">
      <c r="A90" s="495"/>
      <c r="B90" s="184" t="s">
        <v>572</v>
      </c>
      <c r="C90" s="447"/>
      <c r="D90" s="447"/>
      <c r="E90" s="497"/>
      <c r="F90" s="449"/>
      <c r="G90" s="188">
        <v>0.03436</v>
      </c>
      <c r="H90" s="310">
        <v>565.03</v>
      </c>
      <c r="I90" s="200">
        <f>7915-150</f>
        <v>7765</v>
      </c>
      <c r="J90" s="200">
        <v>7750</v>
      </c>
      <c r="K90" s="200">
        <v>4155</v>
      </c>
      <c r="L90" s="200">
        <v>3895</v>
      </c>
      <c r="M90" s="200">
        <v>3630</v>
      </c>
      <c r="N90" s="200">
        <v>3380</v>
      </c>
      <c r="O90" s="200">
        <v>3105</v>
      </c>
      <c r="P90" s="200">
        <v>2845</v>
      </c>
      <c r="Q90" s="200">
        <v>2580</v>
      </c>
      <c r="R90" s="200">
        <v>2325</v>
      </c>
      <c r="S90" s="200">
        <v>2060</v>
      </c>
      <c r="T90" s="200">
        <v>1795</v>
      </c>
      <c r="U90" s="200">
        <v>1535</v>
      </c>
      <c r="V90" s="200">
        <v>1275</v>
      </c>
      <c r="W90" s="200">
        <f>1010+1470</f>
        <v>2480</v>
      </c>
      <c r="X90" s="175">
        <f t="shared" si="2"/>
        <v>51140.03</v>
      </c>
    </row>
    <row r="91" spans="1:24" s="134" customFormat="1" ht="12.75">
      <c r="A91" s="494">
        <v>43</v>
      </c>
      <c r="B91" s="164" t="s">
        <v>475</v>
      </c>
      <c r="C91" s="446" t="s">
        <v>371</v>
      </c>
      <c r="D91" s="446">
        <v>676</v>
      </c>
      <c r="E91" s="496">
        <v>4607144</v>
      </c>
      <c r="F91" s="448" t="s">
        <v>626</v>
      </c>
      <c r="G91" s="193" t="s">
        <v>478</v>
      </c>
      <c r="H91" s="199"/>
      <c r="I91" s="198"/>
      <c r="J91" s="198">
        <v>6000</v>
      </c>
      <c r="K91" s="198">
        <v>10000</v>
      </c>
      <c r="L91" s="198">
        <v>20000</v>
      </c>
      <c r="M91" s="198">
        <v>40000</v>
      </c>
      <c r="N91" s="198">
        <v>100000</v>
      </c>
      <c r="O91" s="198">
        <v>199152</v>
      </c>
      <c r="P91" s="198">
        <v>199152</v>
      </c>
      <c r="Q91" s="198">
        <v>199152</v>
      </c>
      <c r="R91" s="198">
        <v>199152</v>
      </c>
      <c r="S91" s="198">
        <v>199152</v>
      </c>
      <c r="T91" s="198">
        <v>199152</v>
      </c>
      <c r="U91" s="198">
        <v>199152</v>
      </c>
      <c r="V91" s="198">
        <v>199152</v>
      </c>
      <c r="W91" s="198">
        <f>199152+2638776</f>
        <v>2837928</v>
      </c>
      <c r="X91" s="174">
        <f t="shared" si="2"/>
        <v>4607144</v>
      </c>
    </row>
    <row r="92" spans="1:24" s="134" customFormat="1" ht="12.75">
      <c r="A92" s="495"/>
      <c r="B92" s="184" t="s">
        <v>625</v>
      </c>
      <c r="C92" s="447"/>
      <c r="D92" s="447"/>
      <c r="E92" s="497"/>
      <c r="F92" s="449"/>
      <c r="G92" s="188">
        <v>0.00567</v>
      </c>
      <c r="H92" s="310">
        <v>8577.1</v>
      </c>
      <c r="I92" s="200">
        <f>118595-395</f>
        <v>118200</v>
      </c>
      <c r="J92" s="200">
        <v>210740</v>
      </c>
      <c r="K92" s="200">
        <v>93270</v>
      </c>
      <c r="L92" s="200">
        <v>93025</v>
      </c>
      <c r="M92" s="200">
        <v>92550</v>
      </c>
      <c r="N92" s="200">
        <v>91755</v>
      </c>
      <c r="O92" s="200">
        <v>89120</v>
      </c>
      <c r="P92" s="200">
        <v>85195</v>
      </c>
      <c r="Q92" s="200">
        <v>81155</v>
      </c>
      <c r="R92" s="200">
        <v>77330</v>
      </c>
      <c r="S92" s="200">
        <v>73080</v>
      </c>
      <c r="T92" s="200">
        <v>69040</v>
      </c>
      <c r="U92" s="200">
        <v>65005</v>
      </c>
      <c r="V92" s="200">
        <v>61135</v>
      </c>
      <c r="W92" s="200">
        <f>56925+373465</f>
        <v>430390</v>
      </c>
      <c r="X92" s="175">
        <f t="shared" si="2"/>
        <v>1739567.1</v>
      </c>
    </row>
    <row r="93" spans="1:24" s="134" customFormat="1" ht="12.75">
      <c r="A93" s="494">
        <v>44</v>
      </c>
      <c r="B93" s="189" t="s">
        <v>475</v>
      </c>
      <c r="C93" s="446" t="s">
        <v>621</v>
      </c>
      <c r="D93" s="446">
        <v>677</v>
      </c>
      <c r="E93" s="496">
        <f>40211-1880.77</f>
        <v>38330.23</v>
      </c>
      <c r="F93" s="448" t="s">
        <v>639</v>
      </c>
      <c r="G93" s="193" t="s">
        <v>478</v>
      </c>
      <c r="H93" s="199">
        <f>15390.5</f>
        <v>15390.5</v>
      </c>
      <c r="I93" s="199"/>
      <c r="J93" s="198"/>
      <c r="K93" s="198"/>
      <c r="L93" s="198"/>
      <c r="M93" s="198"/>
      <c r="N93" s="198"/>
      <c r="O93" s="198"/>
      <c r="P93" s="199"/>
      <c r="Q93" s="198"/>
      <c r="R93" s="198"/>
      <c r="S93" s="198"/>
      <c r="T93" s="198"/>
      <c r="U93" s="198"/>
      <c r="V93" s="198"/>
      <c r="W93" s="198"/>
      <c r="X93" s="174">
        <f t="shared" si="2"/>
        <v>15390.5</v>
      </c>
    </row>
    <row r="94" spans="1:24" s="134" customFormat="1" ht="12.75">
      <c r="A94" s="495"/>
      <c r="B94" s="190" t="s">
        <v>637</v>
      </c>
      <c r="C94" s="447"/>
      <c r="D94" s="447"/>
      <c r="E94" s="497"/>
      <c r="F94" s="449"/>
      <c r="G94" s="185">
        <v>0.0025</v>
      </c>
      <c r="H94" s="310">
        <v>35.15</v>
      </c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175">
        <f t="shared" si="2"/>
        <v>35.15</v>
      </c>
    </row>
    <row r="95" spans="1:24" s="134" customFormat="1" ht="12.75">
      <c r="A95" s="494">
        <v>45</v>
      </c>
      <c r="B95" s="164" t="s">
        <v>475</v>
      </c>
      <c r="C95" s="446" t="s">
        <v>242</v>
      </c>
      <c r="D95" s="446">
        <v>678</v>
      </c>
      <c r="E95" s="496">
        <f>1073828+53126-7158.22</f>
        <v>1119795.78</v>
      </c>
      <c r="F95" s="448" t="s">
        <v>640</v>
      </c>
      <c r="G95" s="193" t="s">
        <v>478</v>
      </c>
      <c r="H95" s="199"/>
      <c r="I95" s="198"/>
      <c r="J95" s="199">
        <v>5008.21</v>
      </c>
      <c r="K95" s="198">
        <v>10000</v>
      </c>
      <c r="L95" s="198">
        <v>20000</v>
      </c>
      <c r="M95" s="198">
        <v>42268</v>
      </c>
      <c r="N95" s="198">
        <v>42268</v>
      </c>
      <c r="O95" s="198">
        <v>42268</v>
      </c>
      <c r="P95" s="198">
        <v>42268</v>
      </c>
      <c r="Q95" s="198">
        <v>42268</v>
      </c>
      <c r="R95" s="198">
        <v>42268</v>
      </c>
      <c r="S95" s="198">
        <v>42268</v>
      </c>
      <c r="T95" s="198">
        <v>42268</v>
      </c>
      <c r="U95" s="198">
        <v>42268</v>
      </c>
      <c r="V95" s="198">
        <v>42268</v>
      </c>
      <c r="W95" s="198">
        <v>602227</v>
      </c>
      <c r="X95" s="174">
        <f t="shared" si="2"/>
        <v>1059915.21</v>
      </c>
    </row>
    <row r="96" spans="1:24" s="134" customFormat="1" ht="12.75">
      <c r="A96" s="495"/>
      <c r="B96" s="191" t="s">
        <v>638</v>
      </c>
      <c r="C96" s="447"/>
      <c r="D96" s="447"/>
      <c r="E96" s="497"/>
      <c r="F96" s="449"/>
      <c r="G96" s="188">
        <v>0.01015</v>
      </c>
      <c r="H96" s="310">
        <v>5283.82</v>
      </c>
      <c r="I96" s="200">
        <v>29685</v>
      </c>
      <c r="J96" s="200">
        <v>48480</v>
      </c>
      <c r="K96" s="200">
        <v>21360</v>
      </c>
      <c r="L96" s="200">
        <v>21115</v>
      </c>
      <c r="M96" s="200">
        <v>20630</v>
      </c>
      <c r="N96" s="200">
        <v>19850</v>
      </c>
      <c r="O96" s="200">
        <v>18940</v>
      </c>
      <c r="P96" s="200">
        <v>18080</v>
      </c>
      <c r="Q96" s="200">
        <v>17225</v>
      </c>
      <c r="R96" s="200">
        <v>16410</v>
      </c>
      <c r="S96" s="200">
        <v>15510</v>
      </c>
      <c r="T96" s="200">
        <v>14655</v>
      </c>
      <c r="U96" s="200">
        <v>13795</v>
      </c>
      <c r="V96" s="200">
        <v>12975</v>
      </c>
      <c r="W96" s="200">
        <v>91320</v>
      </c>
      <c r="X96" s="175">
        <f>SUM(H96:W96)</f>
        <v>385313.82</v>
      </c>
    </row>
    <row r="97" spans="1:24" s="134" customFormat="1" ht="12.75">
      <c r="A97" s="494">
        <v>46</v>
      </c>
      <c r="B97" s="164" t="s">
        <v>475</v>
      </c>
      <c r="C97" s="446" t="s">
        <v>714</v>
      </c>
      <c r="D97" s="446">
        <v>679</v>
      </c>
      <c r="E97" s="496">
        <v>1144390</v>
      </c>
      <c r="F97" s="448" t="s">
        <v>645</v>
      </c>
      <c r="G97" s="193" t="s">
        <v>478</v>
      </c>
      <c r="H97" s="199"/>
      <c r="I97" s="198"/>
      <c r="J97" s="198">
        <v>5000</v>
      </c>
      <c r="K97" s="198">
        <v>10000</v>
      </c>
      <c r="L97" s="198">
        <v>20000</v>
      </c>
      <c r="M97" s="198">
        <v>45280</v>
      </c>
      <c r="N97" s="198">
        <v>45280</v>
      </c>
      <c r="O97" s="198">
        <v>45280</v>
      </c>
      <c r="P97" s="198">
        <v>45280</v>
      </c>
      <c r="Q97" s="198">
        <v>45280</v>
      </c>
      <c r="R97" s="198">
        <v>45280</v>
      </c>
      <c r="S97" s="198">
        <v>45280</v>
      </c>
      <c r="T97" s="198">
        <v>45280</v>
      </c>
      <c r="U97" s="198">
        <v>45280</v>
      </c>
      <c r="V97" s="198">
        <v>45280</v>
      </c>
      <c r="W97" s="198">
        <v>656590</v>
      </c>
      <c r="X97" s="174">
        <f t="shared" si="2"/>
        <v>1144390</v>
      </c>
    </row>
    <row r="98" spans="1:24" s="134" customFormat="1" ht="12.75">
      <c r="A98" s="495"/>
      <c r="B98" s="184" t="s">
        <v>646</v>
      </c>
      <c r="C98" s="447"/>
      <c r="D98" s="447"/>
      <c r="E98" s="497"/>
      <c r="F98" s="449"/>
      <c r="G98" s="188">
        <v>0.01746</v>
      </c>
      <c r="H98" s="310">
        <v>5645.33</v>
      </c>
      <c r="I98" s="200">
        <v>28315</v>
      </c>
      <c r="J98" s="200">
        <v>52355</v>
      </c>
      <c r="K98" s="200">
        <v>23075</v>
      </c>
      <c r="L98" s="200">
        <v>22830</v>
      </c>
      <c r="M98" s="200">
        <v>22330</v>
      </c>
      <c r="N98" s="200">
        <v>21500</v>
      </c>
      <c r="O98" s="200">
        <v>20520</v>
      </c>
      <c r="P98" s="200">
        <v>19600</v>
      </c>
      <c r="Q98" s="200">
        <v>18685</v>
      </c>
      <c r="R98" s="200">
        <v>17815</v>
      </c>
      <c r="S98" s="200">
        <v>16850</v>
      </c>
      <c r="T98" s="200">
        <v>15930</v>
      </c>
      <c r="U98" s="200">
        <v>15010</v>
      </c>
      <c r="V98" s="200">
        <v>14130</v>
      </c>
      <c r="W98" s="200">
        <v>101250</v>
      </c>
      <c r="X98" s="175">
        <f>SUM(H98:W98)</f>
        <v>415840.33</v>
      </c>
    </row>
    <row r="99" spans="1:24" s="134" customFormat="1" ht="21.75" customHeight="1">
      <c r="A99" s="494">
        <v>47</v>
      </c>
      <c r="B99" s="164" t="s">
        <v>475</v>
      </c>
      <c r="C99" s="446" t="s">
        <v>250</v>
      </c>
      <c r="D99" s="446">
        <v>680</v>
      </c>
      <c r="E99" s="496">
        <v>147003</v>
      </c>
      <c r="F99" s="448" t="s">
        <v>647</v>
      </c>
      <c r="G99" s="193" t="s">
        <v>478</v>
      </c>
      <c r="H99" s="199">
        <v>7428</v>
      </c>
      <c r="I99" s="198">
        <v>7444</v>
      </c>
      <c r="J99" s="198">
        <v>7444</v>
      </c>
      <c r="K99" s="198">
        <v>7444</v>
      </c>
      <c r="L99" s="198">
        <v>7444</v>
      </c>
      <c r="M99" s="198">
        <v>7444</v>
      </c>
      <c r="N99" s="198">
        <v>7444</v>
      </c>
      <c r="O99" s="198">
        <v>7444</v>
      </c>
      <c r="P99" s="198">
        <v>7444</v>
      </c>
      <c r="Q99" s="198">
        <v>7444</v>
      </c>
      <c r="R99" s="198">
        <v>7444</v>
      </c>
      <c r="S99" s="198">
        <v>7444</v>
      </c>
      <c r="T99" s="198">
        <v>7444</v>
      </c>
      <c r="U99" s="198">
        <v>7444</v>
      </c>
      <c r="V99" s="198">
        <v>7444</v>
      </c>
      <c r="W99" s="198">
        <v>35359</v>
      </c>
      <c r="X99" s="174">
        <f t="shared" si="2"/>
        <v>147003</v>
      </c>
    </row>
    <row r="100" spans="1:24" s="134" customFormat="1" ht="21.75" customHeight="1">
      <c r="A100" s="495"/>
      <c r="B100" s="186" t="s">
        <v>648</v>
      </c>
      <c r="C100" s="498"/>
      <c r="D100" s="498"/>
      <c r="E100" s="499"/>
      <c r="F100" s="500"/>
      <c r="G100" s="188">
        <v>0.01566</v>
      </c>
      <c r="H100" s="310">
        <v>625.71</v>
      </c>
      <c r="I100" s="200">
        <v>2870</v>
      </c>
      <c r="J100" s="200">
        <v>4665</v>
      </c>
      <c r="K100" s="200">
        <v>2510</v>
      </c>
      <c r="L100" s="200">
        <v>2355</v>
      </c>
      <c r="M100" s="200">
        <v>2205</v>
      </c>
      <c r="N100" s="200">
        <v>2060</v>
      </c>
      <c r="O100" s="200">
        <v>1905</v>
      </c>
      <c r="P100" s="200">
        <v>1755</v>
      </c>
      <c r="Q100" s="200">
        <v>1600</v>
      </c>
      <c r="R100" s="200">
        <v>1455</v>
      </c>
      <c r="S100" s="200">
        <v>1300</v>
      </c>
      <c r="T100" s="200">
        <v>1150</v>
      </c>
      <c r="U100" s="200">
        <v>1000</v>
      </c>
      <c r="V100" s="200">
        <v>850</v>
      </c>
      <c r="W100" s="200">
        <v>2235</v>
      </c>
      <c r="X100" s="175">
        <f t="shared" si="2"/>
        <v>30540.71</v>
      </c>
    </row>
    <row r="101" spans="1:24" s="134" customFormat="1" ht="12.75">
      <c r="A101" s="494">
        <v>48</v>
      </c>
      <c r="B101" s="189" t="s">
        <v>475</v>
      </c>
      <c r="C101" s="446" t="s">
        <v>649</v>
      </c>
      <c r="D101" s="446">
        <v>681</v>
      </c>
      <c r="E101" s="496">
        <v>106070</v>
      </c>
      <c r="F101" s="448" t="s">
        <v>715</v>
      </c>
      <c r="G101" s="193" t="s">
        <v>478</v>
      </c>
      <c r="H101" s="199"/>
      <c r="I101" s="198"/>
      <c r="J101" s="198">
        <f>3024</f>
        <v>3024</v>
      </c>
      <c r="K101" s="198">
        <v>6152</v>
      </c>
      <c r="L101" s="198">
        <v>6152</v>
      </c>
      <c r="M101" s="198">
        <v>6152</v>
      </c>
      <c r="N101" s="198">
        <v>6152</v>
      </c>
      <c r="O101" s="198">
        <v>6152</v>
      </c>
      <c r="P101" s="198">
        <v>6152</v>
      </c>
      <c r="Q101" s="198">
        <v>6152</v>
      </c>
      <c r="R101" s="198">
        <v>6152</v>
      </c>
      <c r="S101" s="198">
        <v>6152</v>
      </c>
      <c r="T101" s="198">
        <v>6152</v>
      </c>
      <c r="U101" s="198">
        <v>6152</v>
      </c>
      <c r="V101" s="198">
        <v>6152</v>
      </c>
      <c r="W101" s="198">
        <v>29222</v>
      </c>
      <c r="X101" s="174">
        <f t="shared" si="2"/>
        <v>106070</v>
      </c>
    </row>
    <row r="102" spans="1:24" s="134" customFormat="1" ht="12.75">
      <c r="A102" s="495"/>
      <c r="B102" s="192" t="s">
        <v>653</v>
      </c>
      <c r="C102" s="447"/>
      <c r="D102" s="447"/>
      <c r="E102" s="497"/>
      <c r="F102" s="449"/>
      <c r="G102" s="188">
        <v>0.02083</v>
      </c>
      <c r="H102" s="310">
        <v>448.37</v>
      </c>
      <c r="I102" s="200">
        <v>2625</v>
      </c>
      <c r="J102" s="200">
        <v>3775</v>
      </c>
      <c r="K102" s="200">
        <v>2075</v>
      </c>
      <c r="L102" s="200">
        <v>1950</v>
      </c>
      <c r="M102" s="200">
        <v>1825</v>
      </c>
      <c r="N102" s="200">
        <v>1705</v>
      </c>
      <c r="O102" s="200">
        <v>1575</v>
      </c>
      <c r="P102" s="200">
        <v>1450</v>
      </c>
      <c r="Q102" s="200">
        <v>1325</v>
      </c>
      <c r="R102" s="200">
        <v>1200</v>
      </c>
      <c r="S102" s="200">
        <v>1075</v>
      </c>
      <c r="T102" s="200">
        <v>950</v>
      </c>
      <c r="U102" s="200">
        <v>825</v>
      </c>
      <c r="V102" s="200">
        <v>700</v>
      </c>
      <c r="W102" s="200">
        <v>1625</v>
      </c>
      <c r="X102" s="176">
        <f t="shared" si="2"/>
        <v>25128.37</v>
      </c>
    </row>
    <row r="103" spans="1:24" s="134" customFormat="1" ht="12.75">
      <c r="A103" s="494">
        <v>49</v>
      </c>
      <c r="B103" s="189" t="s">
        <v>475</v>
      </c>
      <c r="C103" s="446" t="s">
        <v>716</v>
      </c>
      <c r="D103" s="446">
        <v>682</v>
      </c>
      <c r="E103" s="496">
        <v>603918</v>
      </c>
      <c r="F103" s="448" t="s">
        <v>715</v>
      </c>
      <c r="G103" s="193" t="s">
        <v>478</v>
      </c>
      <c r="H103" s="199"/>
      <c r="I103" s="198"/>
      <c r="J103" s="198">
        <v>13121</v>
      </c>
      <c r="K103" s="198">
        <v>26264</v>
      </c>
      <c r="L103" s="198">
        <v>26264</v>
      </c>
      <c r="M103" s="198">
        <v>26264</v>
      </c>
      <c r="N103" s="198">
        <v>26264</v>
      </c>
      <c r="O103" s="198">
        <v>26264</v>
      </c>
      <c r="P103" s="198">
        <v>26264</v>
      </c>
      <c r="Q103" s="198">
        <v>26264</v>
      </c>
      <c r="R103" s="198">
        <v>26264</v>
      </c>
      <c r="S103" s="198">
        <v>26264</v>
      </c>
      <c r="T103" s="198">
        <v>26264</v>
      </c>
      <c r="U103" s="198">
        <v>26264</v>
      </c>
      <c r="V103" s="198">
        <v>26264</v>
      </c>
      <c r="W103" s="198">
        <v>124754</v>
      </c>
      <c r="X103" s="174">
        <f t="shared" si="2"/>
        <v>453043</v>
      </c>
    </row>
    <row r="104" spans="1:24" s="134" customFormat="1" ht="12.75">
      <c r="A104" s="495"/>
      <c r="B104" s="192" t="s">
        <v>654</v>
      </c>
      <c r="C104" s="447"/>
      <c r="D104" s="447"/>
      <c r="E104" s="497"/>
      <c r="F104" s="449"/>
      <c r="G104" s="188">
        <f>2.683%</f>
        <v>0.02683</v>
      </c>
      <c r="H104" s="310">
        <v>4927.08</v>
      </c>
      <c r="I104" s="200">
        <v>13850</v>
      </c>
      <c r="J104" s="200">
        <v>18420</v>
      </c>
      <c r="K104" s="200">
        <v>8840</v>
      </c>
      <c r="L104" s="200">
        <v>8310</v>
      </c>
      <c r="M104" s="200">
        <v>7775</v>
      </c>
      <c r="N104" s="200">
        <v>7265</v>
      </c>
      <c r="O104" s="200">
        <v>6710</v>
      </c>
      <c r="P104" s="200">
        <v>6180</v>
      </c>
      <c r="Q104" s="200">
        <v>5645</v>
      </c>
      <c r="R104" s="200">
        <v>5125</v>
      </c>
      <c r="S104" s="200">
        <v>4580</v>
      </c>
      <c r="T104" s="200">
        <v>4050</v>
      </c>
      <c r="U104" s="200">
        <v>3515</v>
      </c>
      <c r="V104" s="200">
        <v>2990</v>
      </c>
      <c r="W104" s="200">
        <v>6920</v>
      </c>
      <c r="X104" s="175">
        <f t="shared" si="2"/>
        <v>115102.08</v>
      </c>
    </row>
    <row r="105" spans="1:24" s="134" customFormat="1" ht="12.75">
      <c r="A105" s="494">
        <v>50</v>
      </c>
      <c r="B105" s="189" t="s">
        <v>475</v>
      </c>
      <c r="C105" s="446" t="s">
        <v>717</v>
      </c>
      <c r="D105" s="446">
        <v>683</v>
      </c>
      <c r="E105" s="496">
        <f>431815</f>
        <v>431815</v>
      </c>
      <c r="F105" s="448" t="s">
        <v>715</v>
      </c>
      <c r="G105" s="193" t="s">
        <v>478</v>
      </c>
      <c r="H105" s="199"/>
      <c r="I105" s="198"/>
      <c r="J105" s="198">
        <v>12462</v>
      </c>
      <c r="K105" s="198">
        <v>25036</v>
      </c>
      <c r="L105" s="198">
        <v>25036</v>
      </c>
      <c r="M105" s="198">
        <v>25036</v>
      </c>
      <c r="N105" s="198">
        <v>25036</v>
      </c>
      <c r="O105" s="198">
        <v>25036</v>
      </c>
      <c r="P105" s="198">
        <v>25036</v>
      </c>
      <c r="Q105" s="198">
        <v>25036</v>
      </c>
      <c r="R105" s="198">
        <v>25036</v>
      </c>
      <c r="S105" s="198">
        <v>25036</v>
      </c>
      <c r="T105" s="198">
        <v>25036</v>
      </c>
      <c r="U105" s="198">
        <v>25036</v>
      </c>
      <c r="V105" s="198">
        <v>25036</v>
      </c>
      <c r="W105" s="198">
        <v>118921</v>
      </c>
      <c r="X105" s="174">
        <f t="shared" si="2"/>
        <v>431815</v>
      </c>
    </row>
    <row r="106" spans="1:24" s="134" customFormat="1" ht="12.75">
      <c r="A106" s="495"/>
      <c r="B106" s="192" t="s">
        <v>655</v>
      </c>
      <c r="C106" s="447"/>
      <c r="D106" s="447"/>
      <c r="E106" s="497"/>
      <c r="F106" s="449"/>
      <c r="G106" s="188">
        <v>0.02083</v>
      </c>
      <c r="H106" s="310">
        <v>1319.44</v>
      </c>
      <c r="I106" s="200">
        <v>10685</v>
      </c>
      <c r="J106" s="200">
        <v>15360</v>
      </c>
      <c r="K106" s="200">
        <v>8430</v>
      </c>
      <c r="L106" s="200">
        <v>7920</v>
      </c>
      <c r="M106" s="200">
        <v>7410</v>
      </c>
      <c r="N106" s="200">
        <v>6925</v>
      </c>
      <c r="O106" s="200">
        <v>6395</v>
      </c>
      <c r="P106" s="200">
        <v>5890</v>
      </c>
      <c r="Q106" s="200">
        <v>5380</v>
      </c>
      <c r="R106" s="200">
        <v>4890</v>
      </c>
      <c r="S106" s="200">
        <v>4365</v>
      </c>
      <c r="T106" s="200">
        <v>3860</v>
      </c>
      <c r="U106" s="200">
        <v>3350</v>
      </c>
      <c r="V106" s="200">
        <v>2850</v>
      </c>
      <c r="W106" s="200">
        <v>6595</v>
      </c>
      <c r="X106" s="175">
        <f t="shared" si="2"/>
        <v>101624.44</v>
      </c>
    </row>
    <row r="107" spans="1:24" s="134" customFormat="1" ht="19.5" customHeight="1">
      <c r="A107" s="494">
        <v>51</v>
      </c>
      <c r="B107" s="164" t="s">
        <v>475</v>
      </c>
      <c r="C107" s="446" t="s">
        <v>650</v>
      </c>
      <c r="D107" s="446">
        <v>684</v>
      </c>
      <c r="E107" s="496">
        <v>3381381</v>
      </c>
      <c r="F107" s="448" t="s">
        <v>718</v>
      </c>
      <c r="G107" s="193" t="s">
        <v>478</v>
      </c>
      <c r="H107" s="313">
        <f>1111.62+7237.8</f>
        <v>8349.42</v>
      </c>
      <c r="I107" s="198"/>
      <c r="J107" s="198">
        <v>25013</v>
      </c>
      <c r="K107" s="198">
        <v>60000</v>
      </c>
      <c r="L107" s="198">
        <v>100000</v>
      </c>
      <c r="M107" s="198">
        <v>130464</v>
      </c>
      <c r="N107" s="198">
        <v>130464</v>
      </c>
      <c r="O107" s="198">
        <v>130464</v>
      </c>
      <c r="P107" s="198">
        <v>130464</v>
      </c>
      <c r="Q107" s="198">
        <v>130464</v>
      </c>
      <c r="R107" s="198">
        <v>130464</v>
      </c>
      <c r="S107" s="198">
        <v>130464</v>
      </c>
      <c r="T107" s="198">
        <v>130464</v>
      </c>
      <c r="U107" s="198">
        <v>130464</v>
      </c>
      <c r="V107" s="198">
        <v>130464</v>
      </c>
      <c r="W107" s="199">
        <f>1882989.94-7237.8</f>
        <v>1875752.14</v>
      </c>
      <c r="X107" s="174">
        <f t="shared" si="2"/>
        <v>3373754.5599999996</v>
      </c>
    </row>
    <row r="108" spans="1:24" s="134" customFormat="1" ht="19.5" customHeight="1">
      <c r="A108" s="495"/>
      <c r="B108" s="184" t="s">
        <v>656</v>
      </c>
      <c r="C108" s="447"/>
      <c r="D108" s="447"/>
      <c r="E108" s="497"/>
      <c r="F108" s="449"/>
      <c r="G108" s="188">
        <v>0.02283</v>
      </c>
      <c r="H108" s="310">
        <v>7265.06</v>
      </c>
      <c r="I108" s="200">
        <f>97180-5110-170</f>
        <v>91900</v>
      </c>
      <c r="J108" s="200">
        <f>154280-330</f>
        <v>153950</v>
      </c>
      <c r="K108" s="200">
        <v>67530</v>
      </c>
      <c r="L108" s="200">
        <v>66165</v>
      </c>
      <c r="M108" s="200">
        <v>64050</v>
      </c>
      <c r="N108" s="200">
        <v>61610</v>
      </c>
      <c r="O108" s="200">
        <v>58795</v>
      </c>
      <c r="P108" s="200">
        <v>56150</v>
      </c>
      <c r="Q108" s="200">
        <v>53505</v>
      </c>
      <c r="R108" s="200">
        <v>51000</v>
      </c>
      <c r="S108" s="200">
        <v>48215</v>
      </c>
      <c r="T108" s="200">
        <v>45565</v>
      </c>
      <c r="U108" s="200">
        <v>42920</v>
      </c>
      <c r="V108" s="200">
        <v>40390</v>
      </c>
      <c r="W108" s="200">
        <v>286915</v>
      </c>
      <c r="X108" s="175">
        <f t="shared" si="2"/>
        <v>1195925.06</v>
      </c>
    </row>
    <row r="109" spans="1:24" s="134" customFormat="1" ht="12.75">
      <c r="A109" s="494">
        <v>52</v>
      </c>
      <c r="B109" s="189" t="s">
        <v>475</v>
      </c>
      <c r="C109" s="446" t="s">
        <v>651</v>
      </c>
      <c r="D109" s="446">
        <v>685</v>
      </c>
      <c r="E109" s="496">
        <f>356301+57894-500.88</f>
        <v>413694.12</v>
      </c>
      <c r="F109" s="448" t="s">
        <v>669</v>
      </c>
      <c r="G109" s="335" t="s">
        <v>478</v>
      </c>
      <c r="H109" s="199"/>
      <c r="I109" s="198"/>
      <c r="J109" s="198">
        <v>11962.119999999999</v>
      </c>
      <c r="K109" s="198">
        <v>23984</v>
      </c>
      <c r="L109" s="198">
        <v>23984</v>
      </c>
      <c r="M109" s="198">
        <v>23984</v>
      </c>
      <c r="N109" s="198">
        <v>23984</v>
      </c>
      <c r="O109" s="198">
        <v>23984</v>
      </c>
      <c r="P109" s="198">
        <v>23984</v>
      </c>
      <c r="Q109" s="198">
        <v>23984</v>
      </c>
      <c r="R109" s="198">
        <v>23984</v>
      </c>
      <c r="S109" s="198">
        <v>23984</v>
      </c>
      <c r="T109" s="198">
        <v>23984</v>
      </c>
      <c r="U109" s="198">
        <v>23984</v>
      </c>
      <c r="V109" s="198">
        <v>23984</v>
      </c>
      <c r="W109" s="198">
        <v>113924</v>
      </c>
      <c r="X109" s="174">
        <f t="shared" si="2"/>
        <v>413694.12</v>
      </c>
    </row>
    <row r="110" spans="1:24" s="134" customFormat="1" ht="12.75">
      <c r="A110" s="495"/>
      <c r="B110" s="190" t="s">
        <v>657</v>
      </c>
      <c r="C110" s="447"/>
      <c r="D110" s="447"/>
      <c r="E110" s="497"/>
      <c r="F110" s="449"/>
      <c r="G110" s="336">
        <v>0.02082</v>
      </c>
      <c r="H110" s="310">
        <v>1731.83</v>
      </c>
      <c r="I110" s="200">
        <v>10235</v>
      </c>
      <c r="J110" s="200">
        <v>14715</v>
      </c>
      <c r="K110" s="200">
        <v>8075</v>
      </c>
      <c r="L110" s="200">
        <v>7585</v>
      </c>
      <c r="M110" s="200">
        <v>7100</v>
      </c>
      <c r="N110" s="200">
        <v>6635</v>
      </c>
      <c r="O110" s="200">
        <v>6130</v>
      </c>
      <c r="P110" s="200">
        <v>5640</v>
      </c>
      <c r="Q110" s="200">
        <v>5155</v>
      </c>
      <c r="R110" s="200">
        <v>4680</v>
      </c>
      <c r="S110" s="200">
        <v>4185</v>
      </c>
      <c r="T110" s="200">
        <v>3695</v>
      </c>
      <c r="U110" s="200">
        <v>3210</v>
      </c>
      <c r="V110" s="200">
        <v>2730</v>
      </c>
      <c r="W110" s="200">
        <v>6320</v>
      </c>
      <c r="X110" s="175">
        <f t="shared" si="2"/>
        <v>97821.83</v>
      </c>
    </row>
    <row r="111" spans="1:24" s="134" customFormat="1" ht="18.75" customHeight="1">
      <c r="A111" s="494">
        <v>53</v>
      </c>
      <c r="B111" s="164" t="s">
        <v>475</v>
      </c>
      <c r="C111" s="446" t="s">
        <v>250</v>
      </c>
      <c r="D111" s="446">
        <v>686</v>
      </c>
      <c r="E111" s="496">
        <f>57959+23673+506197</f>
        <v>587829</v>
      </c>
      <c r="F111" s="448" t="s">
        <v>670</v>
      </c>
      <c r="G111" s="193" t="s">
        <v>478</v>
      </c>
      <c r="H111" s="199">
        <v>8342</v>
      </c>
      <c r="I111" s="198">
        <f>8376+57844</f>
        <v>66220</v>
      </c>
      <c r="J111" s="198">
        <v>66228</v>
      </c>
      <c r="K111" s="198">
        <v>66228</v>
      </c>
      <c r="L111" s="198">
        <v>66228</v>
      </c>
      <c r="M111" s="198">
        <v>66228</v>
      </c>
      <c r="N111" s="198">
        <v>66228</v>
      </c>
      <c r="O111" s="198">
        <v>66228</v>
      </c>
      <c r="P111" s="198">
        <v>66228</v>
      </c>
      <c r="Q111" s="198">
        <v>49671</v>
      </c>
      <c r="R111" s="198"/>
      <c r="S111" s="198"/>
      <c r="T111" s="198"/>
      <c r="U111" s="198"/>
      <c r="V111" s="198"/>
      <c r="W111" s="198">
        <v>0</v>
      </c>
      <c r="X111" s="174">
        <f t="shared" si="2"/>
        <v>587829</v>
      </c>
    </row>
    <row r="112" spans="1:24" s="134" customFormat="1" ht="17.25" customHeight="1">
      <c r="A112" s="495"/>
      <c r="B112" s="191" t="s">
        <v>658</v>
      </c>
      <c r="C112" s="447"/>
      <c r="D112" s="447"/>
      <c r="E112" s="497"/>
      <c r="F112" s="449"/>
      <c r="G112" s="188">
        <v>0.02938</v>
      </c>
      <c r="H112" s="310">
        <v>477.17</v>
      </c>
      <c r="I112" s="200">
        <v>16865</v>
      </c>
      <c r="J112" s="200">
        <v>15345</v>
      </c>
      <c r="K112" s="200">
        <v>8860</v>
      </c>
      <c r="L112" s="200">
        <v>7520</v>
      </c>
      <c r="M112" s="200">
        <v>6175</v>
      </c>
      <c r="N112" s="200">
        <v>4845</v>
      </c>
      <c r="O112" s="200">
        <v>3490</v>
      </c>
      <c r="P112" s="200">
        <v>2145</v>
      </c>
      <c r="Q112" s="200">
        <v>800</v>
      </c>
      <c r="R112" s="200"/>
      <c r="S112" s="200"/>
      <c r="T112" s="200"/>
      <c r="U112" s="200"/>
      <c r="V112" s="200"/>
      <c r="W112" s="200">
        <v>0</v>
      </c>
      <c r="X112" s="175">
        <f t="shared" si="2"/>
        <v>66522.17</v>
      </c>
    </row>
    <row r="113" spans="1:24" s="135" customFormat="1" ht="26.25" customHeight="1">
      <c r="A113" s="494">
        <v>54</v>
      </c>
      <c r="B113" s="164" t="s">
        <v>475</v>
      </c>
      <c r="C113" s="446" t="s">
        <v>719</v>
      </c>
      <c r="D113" s="446">
        <v>687</v>
      </c>
      <c r="E113" s="496">
        <v>400000</v>
      </c>
      <c r="F113" s="448" t="s">
        <v>668</v>
      </c>
      <c r="G113" s="193" t="s">
        <v>478</v>
      </c>
      <c r="H113" s="199"/>
      <c r="I113" s="198"/>
      <c r="J113" s="198">
        <v>11380</v>
      </c>
      <c r="K113" s="198">
        <v>22860</v>
      </c>
      <c r="L113" s="198">
        <v>22860</v>
      </c>
      <c r="M113" s="198">
        <v>22860</v>
      </c>
      <c r="N113" s="198">
        <v>22860</v>
      </c>
      <c r="O113" s="198">
        <v>22860</v>
      </c>
      <c r="P113" s="198">
        <v>22860</v>
      </c>
      <c r="Q113" s="198">
        <v>22860</v>
      </c>
      <c r="R113" s="198">
        <v>22860</v>
      </c>
      <c r="S113" s="198">
        <v>22860</v>
      </c>
      <c r="T113" s="198">
        <v>22860</v>
      </c>
      <c r="U113" s="198">
        <v>22860</v>
      </c>
      <c r="V113" s="198">
        <v>22860</v>
      </c>
      <c r="W113" s="198">
        <v>114300</v>
      </c>
      <c r="X113" s="178">
        <f>SUM(H113:W113)</f>
        <v>400000</v>
      </c>
    </row>
    <row r="114" spans="1:24" s="135" customFormat="1" ht="26.25" customHeight="1">
      <c r="A114" s="495"/>
      <c r="B114" s="191" t="s">
        <v>666</v>
      </c>
      <c r="C114" s="447"/>
      <c r="D114" s="447"/>
      <c r="E114" s="497"/>
      <c r="F114" s="449"/>
      <c r="G114" s="188">
        <v>0.0321</v>
      </c>
      <c r="H114" s="310">
        <v>814.38</v>
      </c>
      <c r="I114" s="200">
        <v>13020</v>
      </c>
      <c r="J114" s="200">
        <v>14230</v>
      </c>
      <c r="K114" s="200">
        <v>7810</v>
      </c>
      <c r="L114" s="200">
        <v>7350</v>
      </c>
      <c r="M114" s="200">
        <v>6885</v>
      </c>
      <c r="N114" s="200">
        <v>3440</v>
      </c>
      <c r="O114" s="200">
        <v>5955</v>
      </c>
      <c r="P114" s="200">
        <v>5495</v>
      </c>
      <c r="Q114" s="200">
        <v>5030</v>
      </c>
      <c r="R114" s="200">
        <v>4580</v>
      </c>
      <c r="S114" s="200">
        <v>4105</v>
      </c>
      <c r="T114" s="200">
        <v>3640</v>
      </c>
      <c r="U114" s="200">
        <v>3175</v>
      </c>
      <c r="V114" s="200">
        <v>2720</v>
      </c>
      <c r="W114" s="200">
        <v>6630</v>
      </c>
      <c r="X114" s="179">
        <f>SUM(H114:W114)</f>
        <v>94879.38</v>
      </c>
    </row>
    <row r="115" spans="1:24" s="135" customFormat="1" ht="19.5" customHeight="1">
      <c r="A115" s="494">
        <v>55</v>
      </c>
      <c r="B115" s="164" t="s">
        <v>475</v>
      </c>
      <c r="C115" s="446" t="s">
        <v>720</v>
      </c>
      <c r="D115" s="446">
        <v>688</v>
      </c>
      <c r="E115" s="496">
        <f>165287-28.01</f>
        <v>165258.99</v>
      </c>
      <c r="F115" s="448" t="s">
        <v>668</v>
      </c>
      <c r="G115" s="193" t="s">
        <v>478</v>
      </c>
      <c r="H115" s="199"/>
      <c r="I115" s="198"/>
      <c r="J115" s="199">
        <f>2359-28.01</f>
        <v>2330.99</v>
      </c>
      <c r="K115" s="198">
        <v>9584</v>
      </c>
      <c r="L115" s="198">
        <v>9584</v>
      </c>
      <c r="M115" s="198">
        <v>9584</v>
      </c>
      <c r="N115" s="198">
        <v>9584</v>
      </c>
      <c r="O115" s="198">
        <v>9584</v>
      </c>
      <c r="P115" s="198">
        <v>9584</v>
      </c>
      <c r="Q115" s="198">
        <v>9584</v>
      </c>
      <c r="R115" s="198">
        <v>9584</v>
      </c>
      <c r="S115" s="198">
        <v>9584</v>
      </c>
      <c r="T115" s="198">
        <v>9584</v>
      </c>
      <c r="U115" s="198">
        <v>9584</v>
      </c>
      <c r="V115" s="198">
        <v>9584</v>
      </c>
      <c r="W115" s="198">
        <v>47920</v>
      </c>
      <c r="X115" s="178">
        <f aca="true" t="shared" si="4" ref="X115:X120">SUM(H115:W115)</f>
        <v>165258.99</v>
      </c>
    </row>
    <row r="116" spans="1:24" s="135" customFormat="1" ht="22.5" customHeight="1">
      <c r="A116" s="495"/>
      <c r="B116" s="184" t="s">
        <v>667</v>
      </c>
      <c r="C116" s="447"/>
      <c r="D116" s="447"/>
      <c r="E116" s="497"/>
      <c r="F116" s="449"/>
      <c r="G116" s="188">
        <v>0.0321</v>
      </c>
      <c r="H116" s="310">
        <v>207.03</v>
      </c>
      <c r="I116" s="200">
        <v>5380</v>
      </c>
      <c r="J116" s="200">
        <v>5885</v>
      </c>
      <c r="K116" s="200">
        <v>3275</v>
      </c>
      <c r="L116" s="200">
        <v>3080</v>
      </c>
      <c r="M116" s="200">
        <v>2890</v>
      </c>
      <c r="N116" s="200">
        <v>2700</v>
      </c>
      <c r="O116" s="200">
        <v>2500</v>
      </c>
      <c r="P116" s="200">
        <v>2305</v>
      </c>
      <c r="Q116" s="200">
        <v>2110</v>
      </c>
      <c r="R116" s="200">
        <v>1920</v>
      </c>
      <c r="S116" s="200">
        <v>1720</v>
      </c>
      <c r="T116" s="200">
        <v>1525</v>
      </c>
      <c r="U116" s="200">
        <v>1335</v>
      </c>
      <c r="V116" s="200">
        <v>1140</v>
      </c>
      <c r="W116" s="200">
        <v>2780</v>
      </c>
      <c r="X116" s="179">
        <f t="shared" si="4"/>
        <v>40752.03</v>
      </c>
    </row>
    <row r="117" spans="1:24" s="134" customFormat="1" ht="12.75">
      <c r="A117" s="494">
        <v>56</v>
      </c>
      <c r="B117" s="164" t="s">
        <v>475</v>
      </c>
      <c r="C117" s="446" t="s">
        <v>671</v>
      </c>
      <c r="D117" s="446">
        <v>689</v>
      </c>
      <c r="E117" s="496">
        <v>182387</v>
      </c>
      <c r="F117" s="448" t="s">
        <v>721</v>
      </c>
      <c r="G117" s="193" t="s">
        <v>478</v>
      </c>
      <c r="H117" s="351">
        <v>0</v>
      </c>
      <c r="I117" s="311">
        <v>14027</v>
      </c>
      <c r="J117" s="311">
        <v>56120</v>
      </c>
      <c r="K117" s="311">
        <v>56120</v>
      </c>
      <c r="L117" s="311">
        <v>56120</v>
      </c>
      <c r="M117" s="198"/>
      <c r="N117" s="198"/>
      <c r="O117" s="198"/>
      <c r="P117" s="198"/>
      <c r="Q117" s="198"/>
      <c r="R117" s="198"/>
      <c r="S117" s="198"/>
      <c r="T117" s="198"/>
      <c r="U117" s="198"/>
      <c r="V117" s="198"/>
      <c r="W117" s="198">
        <v>0</v>
      </c>
      <c r="X117" s="174">
        <f t="shared" si="4"/>
        <v>182387</v>
      </c>
    </row>
    <row r="118" spans="1:24" s="134" customFormat="1" ht="12.75">
      <c r="A118" s="495"/>
      <c r="B118" s="184" t="s">
        <v>675</v>
      </c>
      <c r="C118" s="447"/>
      <c r="D118" s="447"/>
      <c r="E118" s="497"/>
      <c r="F118" s="449"/>
      <c r="G118" s="188">
        <v>0.0324</v>
      </c>
      <c r="H118" s="352">
        <v>107.54</v>
      </c>
      <c r="I118" s="312">
        <f>5550+445</f>
        <v>5995</v>
      </c>
      <c r="J118" s="312">
        <v>4875</v>
      </c>
      <c r="K118" s="312">
        <v>2105</v>
      </c>
      <c r="L118" s="312">
        <v>965</v>
      </c>
      <c r="M118" s="200">
        <v>65</v>
      </c>
      <c r="N118" s="200"/>
      <c r="O118" s="200"/>
      <c r="P118" s="200"/>
      <c r="Q118" s="200"/>
      <c r="R118" s="200"/>
      <c r="S118" s="200"/>
      <c r="T118" s="200"/>
      <c r="U118" s="200"/>
      <c r="V118" s="200"/>
      <c r="W118" s="200">
        <v>0</v>
      </c>
      <c r="X118" s="175">
        <f t="shared" si="4"/>
        <v>14112.54</v>
      </c>
    </row>
    <row r="119" spans="1:24" s="144" customFormat="1" ht="12.75" customHeight="1">
      <c r="A119" s="494">
        <v>57</v>
      </c>
      <c r="B119" s="164" t="s">
        <v>475</v>
      </c>
      <c r="C119" s="446" t="s">
        <v>659</v>
      </c>
      <c r="D119" s="446">
        <v>690</v>
      </c>
      <c r="E119" s="496">
        <v>1554321</v>
      </c>
      <c r="F119" s="448" t="s">
        <v>722</v>
      </c>
      <c r="G119" s="193" t="s">
        <v>478</v>
      </c>
      <c r="H119" s="351">
        <v>0</v>
      </c>
      <c r="I119" s="311">
        <v>0</v>
      </c>
      <c r="J119" s="311">
        <v>1971</v>
      </c>
      <c r="K119" s="311">
        <v>10000</v>
      </c>
      <c r="L119" s="311">
        <v>20000</v>
      </c>
      <c r="M119" s="311">
        <v>60000</v>
      </c>
      <c r="N119" s="311">
        <v>77992</v>
      </c>
      <c r="O119" s="311">
        <v>77992</v>
      </c>
      <c r="P119" s="311">
        <v>77992</v>
      </c>
      <c r="Q119" s="311">
        <v>77992</v>
      </c>
      <c r="R119" s="311">
        <v>77992</v>
      </c>
      <c r="S119" s="311">
        <v>77992</v>
      </c>
      <c r="T119" s="311">
        <v>77992</v>
      </c>
      <c r="U119" s="311">
        <v>77992</v>
      </c>
      <c r="V119" s="311">
        <v>77992</v>
      </c>
      <c r="W119" s="198">
        <v>760422</v>
      </c>
      <c r="X119" s="174">
        <f t="shared" si="4"/>
        <v>1554321</v>
      </c>
    </row>
    <row r="120" spans="1:24" s="144" customFormat="1" ht="12.75">
      <c r="A120" s="495"/>
      <c r="B120" s="184" t="s">
        <v>676</v>
      </c>
      <c r="C120" s="447"/>
      <c r="D120" s="447"/>
      <c r="E120" s="497"/>
      <c r="F120" s="449"/>
      <c r="G120" s="188">
        <v>0.03595</v>
      </c>
      <c r="H120" s="352">
        <v>1575.32</v>
      </c>
      <c r="I120" s="312">
        <f>63040-9385</f>
        <v>53655</v>
      </c>
      <c r="J120" s="312">
        <v>63210</v>
      </c>
      <c r="K120" s="312">
        <v>31445</v>
      </c>
      <c r="L120" s="312">
        <v>31205</v>
      </c>
      <c r="M120" s="312">
        <v>30640</v>
      </c>
      <c r="N120" s="312">
        <v>29475</v>
      </c>
      <c r="O120" s="312">
        <v>27830</v>
      </c>
      <c r="P120" s="312">
        <v>26250</v>
      </c>
      <c r="Q120" s="312">
        <v>24665</v>
      </c>
      <c r="R120" s="312">
        <v>23150</v>
      </c>
      <c r="S120" s="312">
        <v>21505</v>
      </c>
      <c r="T120" s="326">
        <v>19925</v>
      </c>
      <c r="U120" s="326">
        <v>18340</v>
      </c>
      <c r="V120" s="326">
        <v>16805</v>
      </c>
      <c r="W120" s="200">
        <v>80640</v>
      </c>
      <c r="X120" s="175">
        <f t="shared" si="4"/>
        <v>500315.32</v>
      </c>
    </row>
    <row r="121" spans="1:24" s="135" customFormat="1" ht="24" customHeight="1">
      <c r="A121" s="494">
        <v>58</v>
      </c>
      <c r="B121" s="164" t="s">
        <v>475</v>
      </c>
      <c r="C121" s="446" t="s">
        <v>674</v>
      </c>
      <c r="D121" s="446">
        <v>691</v>
      </c>
      <c r="E121" s="496">
        <f>102741-5539.61</f>
        <v>97201.39</v>
      </c>
      <c r="F121" s="448" t="s">
        <v>723</v>
      </c>
      <c r="G121" s="193" t="s">
        <v>478</v>
      </c>
      <c r="H121" s="353">
        <v>0</v>
      </c>
      <c r="I121" s="354">
        <f>7893-427.61</f>
        <v>7465.39</v>
      </c>
      <c r="J121" s="354">
        <f>31616-1704</f>
        <v>29912</v>
      </c>
      <c r="K121" s="354">
        <f>31616-1704</f>
        <v>29912</v>
      </c>
      <c r="L121" s="354">
        <f>31616-1704</f>
        <v>29912</v>
      </c>
      <c r="M121" s="198"/>
      <c r="N121" s="198"/>
      <c r="O121" s="198"/>
      <c r="P121" s="198"/>
      <c r="Q121" s="198"/>
      <c r="R121" s="198"/>
      <c r="S121" s="198"/>
      <c r="T121" s="198"/>
      <c r="U121" s="198"/>
      <c r="V121" s="198"/>
      <c r="W121" s="198">
        <v>0</v>
      </c>
      <c r="X121" s="178">
        <f>SUM(H121:V121)</f>
        <v>97201.39</v>
      </c>
    </row>
    <row r="122" spans="1:24" s="135" customFormat="1" ht="27" customHeight="1">
      <c r="A122" s="495"/>
      <c r="B122" s="184" t="s">
        <v>724</v>
      </c>
      <c r="C122" s="447"/>
      <c r="D122" s="447"/>
      <c r="E122" s="497"/>
      <c r="F122" s="449"/>
      <c r="G122" s="185">
        <v>0.0025</v>
      </c>
      <c r="H122" s="355">
        <v>87.62</v>
      </c>
      <c r="I122" s="356">
        <f>2960+490</f>
        <v>3450</v>
      </c>
      <c r="J122" s="356">
        <f>2600+430</f>
        <v>3030</v>
      </c>
      <c r="K122" s="356">
        <v>1120</v>
      </c>
      <c r="L122" s="356">
        <v>515</v>
      </c>
      <c r="M122" s="200">
        <v>35</v>
      </c>
      <c r="N122" s="200"/>
      <c r="O122" s="200"/>
      <c r="P122" s="200"/>
      <c r="Q122" s="200"/>
      <c r="R122" s="200"/>
      <c r="S122" s="200"/>
      <c r="T122" s="200"/>
      <c r="U122" s="200"/>
      <c r="V122" s="200"/>
      <c r="W122" s="200">
        <v>0</v>
      </c>
      <c r="X122" s="179">
        <f>SUM(H122:V122)</f>
        <v>8237.619999999999</v>
      </c>
    </row>
    <row r="123" spans="1:24" s="144" customFormat="1" ht="12.75" customHeight="1">
      <c r="A123" s="494">
        <v>59</v>
      </c>
      <c r="B123" s="164" t="s">
        <v>475</v>
      </c>
      <c r="C123" s="446" t="s">
        <v>735</v>
      </c>
      <c r="D123" s="446">
        <v>692</v>
      </c>
      <c r="E123" s="496">
        <v>227931</v>
      </c>
      <c r="F123" s="448" t="s">
        <v>736</v>
      </c>
      <c r="G123" s="193" t="s">
        <v>478</v>
      </c>
      <c r="H123" s="199"/>
      <c r="I123" s="198"/>
      <c r="J123" s="199"/>
      <c r="K123" s="198">
        <v>13171</v>
      </c>
      <c r="L123" s="198">
        <v>13216</v>
      </c>
      <c r="M123" s="198">
        <v>13216</v>
      </c>
      <c r="N123" s="198">
        <v>13216</v>
      </c>
      <c r="O123" s="198">
        <v>13216</v>
      </c>
      <c r="P123" s="198">
        <v>13216</v>
      </c>
      <c r="Q123" s="198">
        <v>13216</v>
      </c>
      <c r="R123" s="198">
        <v>13216</v>
      </c>
      <c r="S123" s="198">
        <v>13216</v>
      </c>
      <c r="T123" s="198">
        <v>13216</v>
      </c>
      <c r="U123" s="198">
        <v>13216</v>
      </c>
      <c r="V123" s="198">
        <v>13216</v>
      </c>
      <c r="W123" s="198">
        <v>69384</v>
      </c>
      <c r="X123" s="174">
        <f aca="true" t="shared" si="5" ref="X123:X136">SUM(H123:W123)</f>
        <v>227931</v>
      </c>
    </row>
    <row r="124" spans="1:24" s="144" customFormat="1" ht="12.75">
      <c r="A124" s="495"/>
      <c r="B124" s="184" t="s">
        <v>737</v>
      </c>
      <c r="C124" s="447"/>
      <c r="D124" s="447"/>
      <c r="E124" s="497"/>
      <c r="F124" s="449"/>
      <c r="G124" s="188">
        <v>0.00983</v>
      </c>
      <c r="H124" s="310">
        <v>404.28</v>
      </c>
      <c r="I124" s="200">
        <v>7490</v>
      </c>
      <c r="J124" s="200">
        <v>9270</v>
      </c>
      <c r="K124" s="200">
        <v>4570</v>
      </c>
      <c r="L124" s="200">
        <v>4315</v>
      </c>
      <c r="M124" s="200">
        <v>4050</v>
      </c>
      <c r="N124" s="200">
        <v>3790</v>
      </c>
      <c r="O124" s="200">
        <v>3510</v>
      </c>
      <c r="P124" s="200">
        <v>3245</v>
      </c>
      <c r="Q124" s="200">
        <v>2975</v>
      </c>
      <c r="R124" s="200">
        <v>2715</v>
      </c>
      <c r="S124" s="200">
        <v>2440</v>
      </c>
      <c r="T124" s="200">
        <v>2170</v>
      </c>
      <c r="U124" s="200">
        <v>1905</v>
      </c>
      <c r="V124" s="200">
        <v>1640</v>
      </c>
      <c r="W124" s="200">
        <v>4205</v>
      </c>
      <c r="X124" s="175">
        <f t="shared" si="5"/>
        <v>58694.28</v>
      </c>
    </row>
    <row r="125" spans="1:24" s="134" customFormat="1" ht="24.75" customHeight="1">
      <c r="A125" s="494">
        <v>60</v>
      </c>
      <c r="B125" s="164" t="s">
        <v>475</v>
      </c>
      <c r="C125" s="446" t="s">
        <v>739</v>
      </c>
      <c r="D125" s="446">
        <v>693</v>
      </c>
      <c r="E125" s="496">
        <v>281144</v>
      </c>
      <c r="F125" s="448" t="s">
        <v>736</v>
      </c>
      <c r="G125" s="193" t="s">
        <v>478</v>
      </c>
      <c r="H125" s="199"/>
      <c r="I125" s="198"/>
      <c r="J125" s="199"/>
      <c r="K125" s="198">
        <v>16269</v>
      </c>
      <c r="L125" s="198">
        <v>16300</v>
      </c>
      <c r="M125" s="198">
        <v>16300</v>
      </c>
      <c r="N125" s="198">
        <v>16300</v>
      </c>
      <c r="O125" s="198">
        <v>16300</v>
      </c>
      <c r="P125" s="198">
        <v>16300</v>
      </c>
      <c r="Q125" s="198">
        <v>16300</v>
      </c>
      <c r="R125" s="198">
        <v>16300</v>
      </c>
      <c r="S125" s="198">
        <v>16300</v>
      </c>
      <c r="T125" s="198">
        <v>16300</v>
      </c>
      <c r="U125" s="198">
        <v>16300</v>
      </c>
      <c r="V125" s="198">
        <v>16300</v>
      </c>
      <c r="W125" s="198">
        <v>85575</v>
      </c>
      <c r="X125" s="174">
        <f t="shared" si="5"/>
        <v>281144</v>
      </c>
    </row>
    <row r="126" spans="1:24" s="134" customFormat="1" ht="24.75" customHeight="1">
      <c r="A126" s="495"/>
      <c r="B126" s="184" t="s">
        <v>740</v>
      </c>
      <c r="C126" s="447"/>
      <c r="D126" s="447"/>
      <c r="E126" s="497"/>
      <c r="F126" s="449"/>
      <c r="G126" s="188">
        <v>0.00983</v>
      </c>
      <c r="H126" s="310">
        <v>195.67</v>
      </c>
      <c r="I126" s="200">
        <f>9235-40</f>
        <v>9195</v>
      </c>
      <c r="J126" s="200">
        <v>11435</v>
      </c>
      <c r="K126" s="200">
        <v>5635</v>
      </c>
      <c r="L126" s="200">
        <v>5325</v>
      </c>
      <c r="M126" s="200">
        <v>4990</v>
      </c>
      <c r="N126" s="200">
        <v>4675</v>
      </c>
      <c r="O126" s="200">
        <v>4330</v>
      </c>
      <c r="P126" s="200">
        <v>4000</v>
      </c>
      <c r="Q126" s="200">
        <v>3670</v>
      </c>
      <c r="R126" s="200">
        <v>3350</v>
      </c>
      <c r="S126" s="200">
        <v>3010</v>
      </c>
      <c r="T126" s="200">
        <v>2680</v>
      </c>
      <c r="U126" s="200">
        <v>2350</v>
      </c>
      <c r="V126" s="200">
        <v>2025</v>
      </c>
      <c r="W126" s="200">
        <v>5180</v>
      </c>
      <c r="X126" s="175">
        <f t="shared" si="5"/>
        <v>72045.67</v>
      </c>
    </row>
    <row r="127" spans="1:24" s="316" customFormat="1" ht="19.5" customHeight="1">
      <c r="A127" s="494">
        <v>61</v>
      </c>
      <c r="B127" s="164" t="s">
        <v>475</v>
      </c>
      <c r="C127" s="446" t="s">
        <v>741</v>
      </c>
      <c r="D127" s="446">
        <v>694</v>
      </c>
      <c r="E127" s="496">
        <v>103706</v>
      </c>
      <c r="F127" s="517" t="s">
        <v>742</v>
      </c>
      <c r="G127" s="193" t="s">
        <v>478</v>
      </c>
      <c r="H127" s="313">
        <f>57053.49+24451.49</f>
        <v>81504.98</v>
      </c>
      <c r="I127" s="198"/>
      <c r="J127" s="199"/>
      <c r="K127" s="198">
        <v>14281</v>
      </c>
      <c r="L127" s="199">
        <v>7920.02</v>
      </c>
      <c r="M127" s="199"/>
      <c r="N127" s="198"/>
      <c r="O127" s="198"/>
      <c r="P127" s="198"/>
      <c r="Q127" s="198"/>
      <c r="R127" s="198"/>
      <c r="S127" s="198"/>
      <c r="T127" s="198"/>
      <c r="U127" s="198"/>
      <c r="V127" s="198"/>
      <c r="W127" s="198">
        <v>0</v>
      </c>
      <c r="X127" s="315">
        <f t="shared" si="5"/>
        <v>103706</v>
      </c>
    </row>
    <row r="128" spans="1:24" s="316" customFormat="1" ht="17.25" customHeight="1">
      <c r="A128" s="495"/>
      <c r="B128" s="184" t="s">
        <v>743</v>
      </c>
      <c r="C128" s="447"/>
      <c r="D128" s="447"/>
      <c r="E128" s="497"/>
      <c r="F128" s="518"/>
      <c r="G128" s="188">
        <v>0.00758</v>
      </c>
      <c r="H128" s="310">
        <v>277.81</v>
      </c>
      <c r="I128" s="200">
        <v>775</v>
      </c>
      <c r="J128" s="200">
        <v>790</v>
      </c>
      <c r="K128" s="200">
        <v>390</v>
      </c>
      <c r="L128" s="200">
        <v>120</v>
      </c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>
        <v>0</v>
      </c>
      <c r="X128" s="317">
        <f t="shared" si="5"/>
        <v>2352.81</v>
      </c>
    </row>
    <row r="129" spans="1:24" s="318" customFormat="1" ht="12.75">
      <c r="A129" s="494">
        <v>62</v>
      </c>
      <c r="B129" s="164" t="s">
        <v>475</v>
      </c>
      <c r="C129" s="446" t="s">
        <v>744</v>
      </c>
      <c r="D129" s="446">
        <v>695</v>
      </c>
      <c r="E129" s="496">
        <f>476312+31719</f>
        <v>508031</v>
      </c>
      <c r="F129" s="448" t="s">
        <v>745</v>
      </c>
      <c r="G129" s="193" t="s">
        <v>478</v>
      </c>
      <c r="H129" s="199"/>
      <c r="I129" s="198"/>
      <c r="J129" s="199"/>
      <c r="K129" s="198">
        <v>18626</v>
      </c>
      <c r="L129" s="198">
        <v>18644</v>
      </c>
      <c r="M129" s="198">
        <v>18644</v>
      </c>
      <c r="N129" s="198">
        <v>18644</v>
      </c>
      <c r="O129" s="198">
        <v>18644</v>
      </c>
      <c r="P129" s="198">
        <v>18644</v>
      </c>
      <c r="Q129" s="198">
        <v>18644</v>
      </c>
      <c r="R129" s="198">
        <v>18644</v>
      </c>
      <c r="S129" s="198">
        <v>18644</v>
      </c>
      <c r="T129" s="198">
        <v>18644</v>
      </c>
      <c r="U129" s="198">
        <v>18644</v>
      </c>
      <c r="V129" s="198">
        <v>18644</v>
      </c>
      <c r="W129" s="198">
        <v>284321</v>
      </c>
      <c r="X129" s="315">
        <f t="shared" si="5"/>
        <v>508031</v>
      </c>
    </row>
    <row r="130" spans="1:24" s="318" customFormat="1" ht="12.75">
      <c r="A130" s="495"/>
      <c r="B130" s="184" t="s">
        <v>746</v>
      </c>
      <c r="C130" s="447"/>
      <c r="D130" s="447"/>
      <c r="E130" s="497"/>
      <c r="F130" s="449"/>
      <c r="G130" s="188">
        <v>0.01358</v>
      </c>
      <c r="H130" s="310">
        <v>2412.05</v>
      </c>
      <c r="I130" s="200">
        <v>19100</v>
      </c>
      <c r="J130" s="200">
        <v>23245</v>
      </c>
      <c r="K130" s="200">
        <v>10225</v>
      </c>
      <c r="L130" s="200">
        <v>9870</v>
      </c>
      <c r="M130" s="200">
        <v>9490</v>
      </c>
      <c r="N130" s="200">
        <v>9135</v>
      </c>
      <c r="O130" s="200">
        <v>8735</v>
      </c>
      <c r="P130" s="200">
        <v>8355</v>
      </c>
      <c r="Q130" s="200">
        <v>7980</v>
      </c>
      <c r="R130" s="200">
        <v>7620</v>
      </c>
      <c r="S130" s="200">
        <v>7220</v>
      </c>
      <c r="T130" s="200">
        <v>6845</v>
      </c>
      <c r="U130" s="200">
        <v>6465</v>
      </c>
      <c r="V130" s="200">
        <v>6105</v>
      </c>
      <c r="W130" s="200">
        <v>46005</v>
      </c>
      <c r="X130" s="317">
        <f t="shared" si="5"/>
        <v>188807.05</v>
      </c>
    </row>
    <row r="131" spans="1:24" s="134" customFormat="1" ht="18.75" customHeight="1">
      <c r="A131" s="494">
        <v>63</v>
      </c>
      <c r="B131" s="164" t="s">
        <v>475</v>
      </c>
      <c r="C131" s="446" t="s">
        <v>747</v>
      </c>
      <c r="D131" s="446">
        <v>696</v>
      </c>
      <c r="E131" s="496">
        <v>800107</v>
      </c>
      <c r="F131" s="517" t="s">
        <v>774</v>
      </c>
      <c r="G131" s="193" t="s">
        <v>478</v>
      </c>
      <c r="H131" s="313">
        <f>1511.7</f>
        <v>1511.7</v>
      </c>
      <c r="I131" s="198"/>
      <c r="J131" s="199"/>
      <c r="K131" s="198">
        <v>1277</v>
      </c>
      <c r="L131" s="198">
        <v>4000</v>
      </c>
      <c r="M131" s="198">
        <v>52120</v>
      </c>
      <c r="N131" s="198">
        <v>52120</v>
      </c>
      <c r="O131" s="198">
        <v>52120</v>
      </c>
      <c r="P131" s="198">
        <v>52120</v>
      </c>
      <c r="Q131" s="198">
        <v>52120</v>
      </c>
      <c r="R131" s="198">
        <v>52120</v>
      </c>
      <c r="S131" s="198">
        <v>52120</v>
      </c>
      <c r="T131" s="198">
        <v>52120</v>
      </c>
      <c r="U131" s="198">
        <v>52120</v>
      </c>
      <c r="V131" s="198">
        <v>52120</v>
      </c>
      <c r="W131" s="198">
        <v>272118.3</v>
      </c>
      <c r="X131" s="174">
        <f t="shared" si="5"/>
        <v>800107</v>
      </c>
    </row>
    <row r="132" spans="1:24" s="134" customFormat="1" ht="16.5" customHeight="1">
      <c r="A132" s="495"/>
      <c r="B132" s="184" t="s">
        <v>749</v>
      </c>
      <c r="C132" s="447"/>
      <c r="D132" s="447"/>
      <c r="E132" s="497"/>
      <c r="F132" s="519"/>
      <c r="G132" s="188">
        <v>0.01248</v>
      </c>
      <c r="H132" s="200">
        <v>104.81</v>
      </c>
      <c r="I132" s="200">
        <f>20360-5100-35</f>
        <v>15225</v>
      </c>
      <c r="J132" s="200">
        <v>32480</v>
      </c>
      <c r="K132" s="200">
        <v>16195</v>
      </c>
      <c r="L132" s="200">
        <v>16155</v>
      </c>
      <c r="M132" s="200">
        <v>15870</v>
      </c>
      <c r="N132" s="200">
        <v>14910</v>
      </c>
      <c r="O132" s="200">
        <v>13815</v>
      </c>
      <c r="P132" s="200">
        <v>12755</v>
      </c>
      <c r="Q132" s="200">
        <v>11700</v>
      </c>
      <c r="R132" s="200">
        <v>10670</v>
      </c>
      <c r="S132" s="200">
        <v>9585</v>
      </c>
      <c r="T132" s="200">
        <v>8530</v>
      </c>
      <c r="U132" s="200">
        <v>7470</v>
      </c>
      <c r="V132" s="200">
        <v>6430</v>
      </c>
      <c r="W132" s="200">
        <v>16390</v>
      </c>
      <c r="X132" s="175">
        <f t="shared" si="5"/>
        <v>208284.81</v>
      </c>
    </row>
    <row r="133" spans="1:24" s="134" customFormat="1" ht="19.5" customHeight="1">
      <c r="A133" s="494">
        <v>64</v>
      </c>
      <c r="B133" s="164" t="s">
        <v>475</v>
      </c>
      <c r="C133" s="446" t="s">
        <v>748</v>
      </c>
      <c r="D133" s="446">
        <v>697</v>
      </c>
      <c r="E133" s="496">
        <f>727379-1545.06</f>
        <v>725833.94</v>
      </c>
      <c r="F133" s="517" t="s">
        <v>753</v>
      </c>
      <c r="G133" s="193" t="s">
        <v>478</v>
      </c>
      <c r="H133" s="319"/>
      <c r="I133" s="319"/>
      <c r="J133" s="357"/>
      <c r="K133" s="319">
        <v>1250</v>
      </c>
      <c r="L133" s="319">
        <v>4000</v>
      </c>
      <c r="M133" s="319">
        <v>28540</v>
      </c>
      <c r="N133" s="319">
        <v>28540</v>
      </c>
      <c r="O133" s="319">
        <v>28540</v>
      </c>
      <c r="P133" s="319">
        <v>28540</v>
      </c>
      <c r="Q133" s="319">
        <v>28540</v>
      </c>
      <c r="R133" s="319">
        <v>28540</v>
      </c>
      <c r="S133" s="319">
        <v>28540</v>
      </c>
      <c r="T133" s="319">
        <v>28540</v>
      </c>
      <c r="U133" s="319">
        <v>28540</v>
      </c>
      <c r="V133" s="319">
        <v>28540</v>
      </c>
      <c r="W133" s="319">
        <v>435183.94</v>
      </c>
      <c r="X133" s="178">
        <f t="shared" si="5"/>
        <v>725833.94</v>
      </c>
    </row>
    <row r="134" spans="1:24" s="134" customFormat="1" ht="19.5" customHeight="1">
      <c r="A134" s="495"/>
      <c r="B134" s="184" t="s">
        <v>750</v>
      </c>
      <c r="C134" s="447"/>
      <c r="D134" s="447"/>
      <c r="E134" s="497"/>
      <c r="F134" s="519"/>
      <c r="G134" s="188">
        <v>0.01603</v>
      </c>
      <c r="H134" s="422">
        <v>1112.53</v>
      </c>
      <c r="I134" s="320">
        <v>22490</v>
      </c>
      <c r="J134" s="320">
        <v>33210</v>
      </c>
      <c r="K134" s="320">
        <v>14720</v>
      </c>
      <c r="L134" s="320">
        <v>14680</v>
      </c>
      <c r="M134" s="320">
        <v>14495</v>
      </c>
      <c r="N134" s="320">
        <v>13985</v>
      </c>
      <c r="O134" s="320">
        <v>13365</v>
      </c>
      <c r="P134" s="320">
        <v>12790</v>
      </c>
      <c r="Q134" s="320">
        <v>12210</v>
      </c>
      <c r="R134" s="320">
        <v>11665</v>
      </c>
      <c r="S134" s="320">
        <v>11055</v>
      </c>
      <c r="T134" s="320">
        <v>10475</v>
      </c>
      <c r="U134" s="320">
        <v>9895</v>
      </c>
      <c r="V134" s="320">
        <v>9340</v>
      </c>
      <c r="W134" s="320">
        <v>70405</v>
      </c>
      <c r="X134" s="179">
        <f t="shared" si="5"/>
        <v>275892.53</v>
      </c>
    </row>
    <row r="135" spans="1:24" s="318" customFormat="1" ht="12.75">
      <c r="A135" s="494">
        <v>65</v>
      </c>
      <c r="B135" s="164" t="s">
        <v>475</v>
      </c>
      <c r="C135" s="446" t="s">
        <v>717</v>
      </c>
      <c r="D135" s="446">
        <v>698</v>
      </c>
      <c r="E135" s="496">
        <v>49567</v>
      </c>
      <c r="F135" s="452" t="s">
        <v>758</v>
      </c>
      <c r="G135" s="193" t="s">
        <v>478</v>
      </c>
      <c r="H135" s="313">
        <v>12506.13</v>
      </c>
      <c r="I135" s="198"/>
      <c r="J135" s="198">
        <v>1337</v>
      </c>
      <c r="K135" s="198">
        <v>2756</v>
      </c>
      <c r="L135" s="198">
        <v>2756</v>
      </c>
      <c r="M135" s="198">
        <v>2756</v>
      </c>
      <c r="N135" s="198">
        <v>2756</v>
      </c>
      <c r="O135" s="198">
        <v>2756</v>
      </c>
      <c r="P135" s="198">
        <v>2756</v>
      </c>
      <c r="Q135" s="198">
        <v>2756</v>
      </c>
      <c r="R135" s="198">
        <v>2756</v>
      </c>
      <c r="S135" s="198">
        <v>2756</v>
      </c>
      <c r="T135" s="198">
        <v>2756</v>
      </c>
      <c r="U135" s="198">
        <v>2756</v>
      </c>
      <c r="V135" s="198">
        <v>2756</v>
      </c>
      <c r="W135" s="199">
        <v>2651.87</v>
      </c>
      <c r="X135" s="315">
        <f t="shared" si="5"/>
        <v>49567</v>
      </c>
    </row>
    <row r="136" spans="1:24" s="318" customFormat="1" ht="12.75">
      <c r="A136" s="495"/>
      <c r="B136" s="184" t="s">
        <v>757</v>
      </c>
      <c r="C136" s="447"/>
      <c r="D136" s="447"/>
      <c r="E136" s="497"/>
      <c r="F136" s="453"/>
      <c r="G136" s="188">
        <v>0.01435</v>
      </c>
      <c r="H136" s="200">
        <v>117.78</v>
      </c>
      <c r="I136" s="200">
        <v>1065</v>
      </c>
      <c r="J136" s="200">
        <v>1510</v>
      </c>
      <c r="K136" s="200">
        <v>720</v>
      </c>
      <c r="L136" s="200">
        <v>660</v>
      </c>
      <c r="M136" s="200">
        <v>605</v>
      </c>
      <c r="N136" s="200">
        <v>550</v>
      </c>
      <c r="O136" s="200">
        <v>495</v>
      </c>
      <c r="P136" s="200">
        <v>440</v>
      </c>
      <c r="Q136" s="200">
        <v>385</v>
      </c>
      <c r="R136" s="200">
        <v>330</v>
      </c>
      <c r="S136" s="200">
        <v>270</v>
      </c>
      <c r="T136" s="200">
        <v>215</v>
      </c>
      <c r="U136" s="200">
        <v>160</v>
      </c>
      <c r="V136" s="200">
        <v>105</v>
      </c>
      <c r="W136" s="200">
        <v>45</v>
      </c>
      <c r="X136" s="317">
        <f t="shared" si="5"/>
        <v>7672.78</v>
      </c>
    </row>
    <row r="137" spans="1:24" s="134" customFormat="1" ht="12.75">
      <c r="A137" s="494">
        <v>66</v>
      </c>
      <c r="B137" s="164" t="s">
        <v>475</v>
      </c>
      <c r="C137" s="446" t="s">
        <v>603</v>
      </c>
      <c r="D137" s="446">
        <v>699</v>
      </c>
      <c r="E137" s="496">
        <v>2617758</v>
      </c>
      <c r="F137" s="448" t="s">
        <v>760</v>
      </c>
      <c r="G137" s="193" t="s">
        <v>478</v>
      </c>
      <c r="H137" s="199"/>
      <c r="I137" s="198"/>
      <c r="J137" s="199"/>
      <c r="K137" s="198">
        <v>1494</v>
      </c>
      <c r="L137" s="198">
        <v>4000</v>
      </c>
      <c r="M137" s="198">
        <v>103456</v>
      </c>
      <c r="N137" s="198">
        <v>103456</v>
      </c>
      <c r="O137" s="198">
        <v>103456</v>
      </c>
      <c r="P137" s="198">
        <v>103456</v>
      </c>
      <c r="Q137" s="198">
        <v>103456</v>
      </c>
      <c r="R137" s="198">
        <v>103456</v>
      </c>
      <c r="S137" s="198">
        <v>103456</v>
      </c>
      <c r="T137" s="198">
        <v>103456</v>
      </c>
      <c r="U137" s="198">
        <v>103456</v>
      </c>
      <c r="V137" s="198">
        <v>103456</v>
      </c>
      <c r="W137" s="198">
        <v>1577704</v>
      </c>
      <c r="X137" s="174">
        <f aca="true" t="shared" si="6" ref="X137:X146">SUM(H137:W137)</f>
        <v>2617758</v>
      </c>
    </row>
    <row r="138" spans="1:24" s="134" customFormat="1" ht="12.75">
      <c r="A138" s="495"/>
      <c r="B138" s="184" t="s">
        <v>759</v>
      </c>
      <c r="C138" s="447"/>
      <c r="D138" s="447"/>
      <c r="E138" s="497"/>
      <c r="F138" s="449"/>
      <c r="G138" s="188">
        <v>0.02998</v>
      </c>
      <c r="H138" s="310">
        <v>3183.47</v>
      </c>
      <c r="I138" s="200">
        <f>99560-27380</f>
        <v>72180</v>
      </c>
      <c r="J138" s="200">
        <v>119765</v>
      </c>
      <c r="K138" s="200">
        <v>53080</v>
      </c>
      <c r="L138" s="200">
        <v>53040</v>
      </c>
      <c r="M138" s="200">
        <v>52540</v>
      </c>
      <c r="N138" s="200">
        <v>50690</v>
      </c>
      <c r="O138" s="200">
        <v>48455</v>
      </c>
      <c r="P138" s="200">
        <v>46355</v>
      </c>
      <c r="Q138" s="200">
        <v>44260</v>
      </c>
      <c r="R138" s="200">
        <v>42275</v>
      </c>
      <c r="S138" s="200">
        <v>40065</v>
      </c>
      <c r="T138" s="200">
        <v>37965</v>
      </c>
      <c r="U138" s="200">
        <v>35865</v>
      </c>
      <c r="V138" s="200">
        <v>33865</v>
      </c>
      <c r="W138" s="200">
        <v>255270</v>
      </c>
      <c r="X138" s="175">
        <f t="shared" si="6"/>
        <v>988853.47</v>
      </c>
    </row>
    <row r="139" spans="1:24" s="134" customFormat="1" ht="12.75">
      <c r="A139" s="494">
        <v>67</v>
      </c>
      <c r="B139" s="164" t="s">
        <v>475</v>
      </c>
      <c r="C139" s="446" t="s">
        <v>767</v>
      </c>
      <c r="D139" s="446">
        <v>700</v>
      </c>
      <c r="E139" s="496">
        <v>31923</v>
      </c>
      <c r="F139" s="448" t="s">
        <v>768</v>
      </c>
      <c r="G139" s="193" t="s">
        <v>478</v>
      </c>
      <c r="H139" s="199"/>
      <c r="I139" s="198"/>
      <c r="J139" s="199"/>
      <c r="K139" s="198">
        <v>1304</v>
      </c>
      <c r="L139" s="198">
        <v>1828</v>
      </c>
      <c r="M139" s="198">
        <v>1828</v>
      </c>
      <c r="N139" s="198">
        <v>1828</v>
      </c>
      <c r="O139" s="198">
        <v>1828</v>
      </c>
      <c r="P139" s="198">
        <v>1828</v>
      </c>
      <c r="Q139" s="198">
        <v>1828</v>
      </c>
      <c r="R139" s="198">
        <v>1828</v>
      </c>
      <c r="S139" s="198">
        <v>1828</v>
      </c>
      <c r="T139" s="198">
        <v>1828</v>
      </c>
      <c r="U139" s="198">
        <v>1828</v>
      </c>
      <c r="V139" s="198">
        <v>1828</v>
      </c>
      <c r="W139" s="198">
        <v>10511</v>
      </c>
      <c r="X139" s="174">
        <f t="shared" si="6"/>
        <v>31923</v>
      </c>
    </row>
    <row r="140" spans="1:24" s="134" customFormat="1" ht="12.75">
      <c r="A140" s="495"/>
      <c r="B140" s="184" t="s">
        <v>769</v>
      </c>
      <c r="C140" s="447"/>
      <c r="D140" s="447"/>
      <c r="E140" s="497"/>
      <c r="F140" s="449"/>
      <c r="G140" s="188">
        <v>0.02918</v>
      </c>
      <c r="H140" s="310">
        <v>0</v>
      </c>
      <c r="I140" s="200">
        <v>1075</v>
      </c>
      <c r="J140" s="200">
        <v>1465</v>
      </c>
      <c r="K140" s="200">
        <v>645</v>
      </c>
      <c r="L140" s="200">
        <v>620</v>
      </c>
      <c r="M140" s="200">
        <v>580</v>
      </c>
      <c r="N140" s="200">
        <v>545</v>
      </c>
      <c r="O140" s="200">
        <v>505</v>
      </c>
      <c r="P140" s="200">
        <v>470</v>
      </c>
      <c r="Q140" s="200">
        <v>430</v>
      </c>
      <c r="R140" s="200">
        <v>395</v>
      </c>
      <c r="S140" s="200">
        <v>360</v>
      </c>
      <c r="T140" s="200">
        <v>320</v>
      </c>
      <c r="U140" s="200">
        <v>285</v>
      </c>
      <c r="V140" s="200">
        <v>245</v>
      </c>
      <c r="W140" s="200">
        <v>695</v>
      </c>
      <c r="X140" s="175">
        <f t="shared" si="6"/>
        <v>8635</v>
      </c>
    </row>
    <row r="141" spans="1:24" s="134" customFormat="1" ht="12.75">
      <c r="A141" s="494">
        <v>68</v>
      </c>
      <c r="B141" s="164" t="s">
        <v>475</v>
      </c>
      <c r="C141" s="446" t="s">
        <v>770</v>
      </c>
      <c r="D141" s="446">
        <v>701</v>
      </c>
      <c r="E141" s="496">
        <v>281777</v>
      </c>
      <c r="F141" s="448" t="s">
        <v>768</v>
      </c>
      <c r="G141" s="193" t="s">
        <v>478</v>
      </c>
      <c r="H141" s="199"/>
      <c r="I141" s="198"/>
      <c r="J141" s="199"/>
      <c r="K141" s="198">
        <v>8149</v>
      </c>
      <c r="L141" s="198">
        <v>16336</v>
      </c>
      <c r="M141" s="198">
        <v>16336</v>
      </c>
      <c r="N141" s="198">
        <v>16336</v>
      </c>
      <c r="O141" s="198">
        <v>16336</v>
      </c>
      <c r="P141" s="198">
        <v>16336</v>
      </c>
      <c r="Q141" s="198">
        <v>16336</v>
      </c>
      <c r="R141" s="198">
        <v>16336</v>
      </c>
      <c r="S141" s="198">
        <v>16336</v>
      </c>
      <c r="T141" s="198">
        <v>16336</v>
      </c>
      <c r="U141" s="198">
        <v>16336</v>
      </c>
      <c r="V141" s="198">
        <v>16336</v>
      </c>
      <c r="W141" s="198">
        <v>93932</v>
      </c>
      <c r="X141" s="174">
        <f t="shared" si="6"/>
        <v>281777</v>
      </c>
    </row>
    <row r="142" spans="1:24" s="134" customFormat="1" ht="12.75">
      <c r="A142" s="495"/>
      <c r="B142" s="184" t="s">
        <v>771</v>
      </c>
      <c r="C142" s="447"/>
      <c r="D142" s="447"/>
      <c r="E142" s="497"/>
      <c r="F142" s="449"/>
      <c r="G142" s="188">
        <v>0.02918</v>
      </c>
      <c r="H142" s="310">
        <v>274.07</v>
      </c>
      <c r="I142" s="200">
        <v>9480</v>
      </c>
      <c r="J142" s="200">
        <v>12895</v>
      </c>
      <c r="K142" s="200">
        <v>5715</v>
      </c>
      <c r="L142" s="200">
        <v>5500</v>
      </c>
      <c r="M142" s="200">
        <v>5170</v>
      </c>
      <c r="N142" s="200">
        <v>4850</v>
      </c>
      <c r="O142" s="200">
        <v>4505</v>
      </c>
      <c r="P142" s="200">
        <v>4175</v>
      </c>
      <c r="Q142" s="200">
        <v>3845</v>
      </c>
      <c r="R142" s="200">
        <v>3520</v>
      </c>
      <c r="S142" s="200">
        <v>3180</v>
      </c>
      <c r="T142" s="200">
        <v>2850</v>
      </c>
      <c r="U142" s="200">
        <v>2520</v>
      </c>
      <c r="V142" s="200">
        <v>2195</v>
      </c>
      <c r="W142" s="200">
        <v>6160</v>
      </c>
      <c r="X142" s="175">
        <f t="shared" si="6"/>
        <v>76834.07</v>
      </c>
    </row>
    <row r="143" spans="1:24" s="134" customFormat="1" ht="12.75">
      <c r="A143" s="520">
        <v>69</v>
      </c>
      <c r="B143" s="164" t="s">
        <v>475</v>
      </c>
      <c r="C143" s="450" t="s">
        <v>371</v>
      </c>
      <c r="D143" s="450">
        <v>703</v>
      </c>
      <c r="E143" s="522">
        <v>1917761</v>
      </c>
      <c r="F143" s="452" t="s">
        <v>772</v>
      </c>
      <c r="G143" s="193" t="s">
        <v>478</v>
      </c>
      <c r="H143" s="199"/>
      <c r="I143" s="198">
        <v>0</v>
      </c>
      <c r="J143" s="198">
        <v>6000</v>
      </c>
      <c r="K143" s="198">
        <v>10000</v>
      </c>
      <c r="L143" s="198">
        <v>25000</v>
      </c>
      <c r="M143" s="198">
        <v>58716</v>
      </c>
      <c r="N143" s="198">
        <v>89484</v>
      </c>
      <c r="O143" s="198">
        <v>89484</v>
      </c>
      <c r="P143" s="198">
        <v>89484</v>
      </c>
      <c r="Q143" s="198">
        <v>89484</v>
      </c>
      <c r="R143" s="198">
        <v>80130</v>
      </c>
      <c r="S143" s="198">
        <v>70768</v>
      </c>
      <c r="T143" s="198">
        <v>70768</v>
      </c>
      <c r="U143" s="198">
        <v>70768</v>
      </c>
      <c r="V143" s="198">
        <v>70768</v>
      </c>
      <c r="W143" s="198">
        <v>1096907</v>
      </c>
      <c r="X143" s="174">
        <f>SUM(H143:W143)</f>
        <v>1917761</v>
      </c>
    </row>
    <row r="144" spans="1:24" s="134" customFormat="1" ht="15" customHeight="1">
      <c r="A144" s="521"/>
      <c r="B144" s="184" t="s">
        <v>773</v>
      </c>
      <c r="C144" s="451"/>
      <c r="D144" s="451"/>
      <c r="E144" s="523"/>
      <c r="F144" s="453"/>
      <c r="G144" s="188">
        <v>0.04095</v>
      </c>
      <c r="H144" s="310">
        <v>0</v>
      </c>
      <c r="I144" s="200">
        <v>54795</v>
      </c>
      <c r="J144" s="200">
        <v>87700</v>
      </c>
      <c r="K144" s="200">
        <v>38735</v>
      </c>
      <c r="L144" s="200">
        <v>38490</v>
      </c>
      <c r="M144" s="200">
        <v>37845</v>
      </c>
      <c r="N144" s="200">
        <v>36655</v>
      </c>
      <c r="O144" s="200">
        <v>34775</v>
      </c>
      <c r="P144" s="200">
        <v>32960</v>
      </c>
      <c r="Q144" s="200">
        <v>31145</v>
      </c>
      <c r="R144" s="200">
        <v>29415</v>
      </c>
      <c r="S144" s="200">
        <v>27765</v>
      </c>
      <c r="T144" s="200">
        <v>26330</v>
      </c>
      <c r="U144" s="200">
        <v>24895</v>
      </c>
      <c r="V144" s="200">
        <v>23525</v>
      </c>
      <c r="W144" s="200">
        <v>180260</v>
      </c>
      <c r="X144" s="175">
        <f t="shared" si="6"/>
        <v>705290</v>
      </c>
    </row>
    <row r="145" spans="1:24" s="144" customFormat="1" ht="12.75" customHeight="1">
      <c r="A145" s="520">
        <v>70</v>
      </c>
      <c r="B145" s="164" t="s">
        <v>475</v>
      </c>
      <c r="C145" s="450" t="s">
        <v>782</v>
      </c>
      <c r="D145" s="450">
        <v>704</v>
      </c>
      <c r="E145" s="522">
        <v>233148</v>
      </c>
      <c r="F145" s="452" t="s">
        <v>783</v>
      </c>
      <c r="G145" s="193" t="s">
        <v>478</v>
      </c>
      <c r="H145" s="198"/>
      <c r="I145" s="198">
        <v>0</v>
      </c>
      <c r="J145" s="198">
        <v>0</v>
      </c>
      <c r="K145" s="198">
        <v>5208</v>
      </c>
      <c r="L145" s="198">
        <v>10480</v>
      </c>
      <c r="M145" s="198">
        <v>10480</v>
      </c>
      <c r="N145" s="198">
        <v>10480</v>
      </c>
      <c r="O145" s="198">
        <v>10480</v>
      </c>
      <c r="P145" s="198">
        <v>10480</v>
      </c>
      <c r="Q145" s="198">
        <v>10480</v>
      </c>
      <c r="R145" s="198">
        <v>10480</v>
      </c>
      <c r="S145" s="198">
        <v>10480</v>
      </c>
      <c r="T145" s="198">
        <v>10480</v>
      </c>
      <c r="U145" s="198">
        <v>10480</v>
      </c>
      <c r="V145" s="198">
        <v>10480</v>
      </c>
      <c r="W145" s="198">
        <v>112660</v>
      </c>
      <c r="X145" s="174">
        <f t="shared" si="6"/>
        <v>233148</v>
      </c>
    </row>
    <row r="146" spans="1:24" s="144" customFormat="1" ht="15" customHeight="1">
      <c r="A146" s="521"/>
      <c r="B146" s="184" t="s">
        <v>784</v>
      </c>
      <c r="C146" s="451"/>
      <c r="D146" s="451"/>
      <c r="E146" s="523"/>
      <c r="F146" s="453"/>
      <c r="G146" s="188">
        <v>0.04429</v>
      </c>
      <c r="H146" s="200">
        <v>0</v>
      </c>
      <c r="I146" s="200">
        <v>10470</v>
      </c>
      <c r="J146" s="200">
        <v>10670</v>
      </c>
      <c r="K146" s="200">
        <v>4730</v>
      </c>
      <c r="L146" s="200">
        <v>4590</v>
      </c>
      <c r="M146" s="200">
        <v>4380</v>
      </c>
      <c r="N146" s="200">
        <v>4180</v>
      </c>
      <c r="O146" s="200">
        <v>3955</v>
      </c>
      <c r="P146" s="200">
        <v>3740</v>
      </c>
      <c r="Q146" s="200">
        <v>3530</v>
      </c>
      <c r="R146" s="200">
        <v>3325</v>
      </c>
      <c r="S146" s="200">
        <v>3105</v>
      </c>
      <c r="T146" s="200">
        <v>2890</v>
      </c>
      <c r="U146" s="200">
        <v>2680</v>
      </c>
      <c r="V146" s="200">
        <v>2475</v>
      </c>
      <c r="W146" s="200">
        <v>13095</v>
      </c>
      <c r="X146" s="175">
        <f t="shared" si="6"/>
        <v>77815</v>
      </c>
    </row>
    <row r="147" spans="1:24" s="144" customFormat="1" ht="12.75" customHeight="1">
      <c r="A147" s="520">
        <v>71</v>
      </c>
      <c r="B147" s="164" t="s">
        <v>475</v>
      </c>
      <c r="C147" s="450" t="s">
        <v>785</v>
      </c>
      <c r="D147" s="450">
        <v>705</v>
      </c>
      <c r="E147" s="522">
        <v>61747</v>
      </c>
      <c r="F147" s="452" t="s">
        <v>786</v>
      </c>
      <c r="G147" s="193" t="s">
        <v>478</v>
      </c>
      <c r="H147" s="198"/>
      <c r="I147" s="198"/>
      <c r="J147" s="198">
        <v>7032</v>
      </c>
      <c r="K147" s="198">
        <v>7060</v>
      </c>
      <c r="L147" s="198">
        <v>7060</v>
      </c>
      <c r="M147" s="198">
        <v>7060</v>
      </c>
      <c r="N147" s="198">
        <v>7060</v>
      </c>
      <c r="O147" s="198">
        <v>7060</v>
      </c>
      <c r="P147" s="198">
        <v>7060</v>
      </c>
      <c r="Q147" s="198">
        <v>7060</v>
      </c>
      <c r="R147" s="198">
        <v>5295</v>
      </c>
      <c r="S147" s="198"/>
      <c r="T147" s="198"/>
      <c r="U147" s="198"/>
      <c r="V147" s="198"/>
      <c r="W147" s="198">
        <v>0</v>
      </c>
      <c r="X147" s="174">
        <f aca="true" t="shared" si="7" ref="X147:X152">SUM(H147:W147)</f>
        <v>61747</v>
      </c>
    </row>
    <row r="148" spans="1:24" s="144" customFormat="1" ht="15" customHeight="1">
      <c r="A148" s="521"/>
      <c r="B148" s="184" t="s">
        <v>787</v>
      </c>
      <c r="C148" s="451"/>
      <c r="D148" s="451"/>
      <c r="E148" s="523"/>
      <c r="F148" s="453"/>
      <c r="G148" s="188">
        <v>0.03829</v>
      </c>
      <c r="H148" s="200">
        <v>0</v>
      </c>
      <c r="I148" s="200">
        <v>2400</v>
      </c>
      <c r="J148" s="200">
        <v>2455</v>
      </c>
      <c r="K148" s="200">
        <v>1090</v>
      </c>
      <c r="L148" s="200">
        <v>945</v>
      </c>
      <c r="M148" s="200">
        <v>805</v>
      </c>
      <c r="N148" s="200">
        <v>660</v>
      </c>
      <c r="O148" s="200">
        <v>515</v>
      </c>
      <c r="P148" s="200">
        <v>375</v>
      </c>
      <c r="Q148" s="200">
        <v>230</v>
      </c>
      <c r="R148" s="200">
        <v>85</v>
      </c>
      <c r="S148" s="200"/>
      <c r="T148" s="200"/>
      <c r="U148" s="200"/>
      <c r="V148" s="200"/>
      <c r="W148" s="200">
        <v>0</v>
      </c>
      <c r="X148" s="175">
        <f t="shared" si="7"/>
        <v>9560</v>
      </c>
    </row>
    <row r="149" spans="1:24" s="144" customFormat="1" ht="12.75" customHeight="1">
      <c r="A149" s="520">
        <v>72</v>
      </c>
      <c r="B149" s="164" t="s">
        <v>475</v>
      </c>
      <c r="C149" s="450" t="s">
        <v>788</v>
      </c>
      <c r="D149" s="450">
        <v>706</v>
      </c>
      <c r="E149" s="522">
        <v>86370</v>
      </c>
      <c r="F149" s="452" t="s">
        <v>786</v>
      </c>
      <c r="G149" s="193" t="s">
        <v>478</v>
      </c>
      <c r="H149" s="198"/>
      <c r="I149" s="198"/>
      <c r="J149" s="198">
        <v>9862</v>
      </c>
      <c r="K149" s="198">
        <v>9872</v>
      </c>
      <c r="L149" s="198">
        <v>9872</v>
      </c>
      <c r="M149" s="198">
        <v>9872</v>
      </c>
      <c r="N149" s="198">
        <v>9872</v>
      </c>
      <c r="O149" s="198">
        <v>9872</v>
      </c>
      <c r="P149" s="198">
        <v>9872</v>
      </c>
      <c r="Q149" s="198">
        <v>9872</v>
      </c>
      <c r="R149" s="198">
        <v>7404</v>
      </c>
      <c r="S149" s="198"/>
      <c r="T149" s="198"/>
      <c r="U149" s="198"/>
      <c r="V149" s="198"/>
      <c r="W149" s="198">
        <v>0</v>
      </c>
      <c r="X149" s="174">
        <f t="shared" si="7"/>
        <v>86370</v>
      </c>
    </row>
    <row r="150" spans="1:24" s="144" customFormat="1" ht="15" customHeight="1">
      <c r="A150" s="521"/>
      <c r="B150" s="184" t="s">
        <v>789</v>
      </c>
      <c r="C150" s="451"/>
      <c r="D150" s="451"/>
      <c r="E150" s="523"/>
      <c r="F150" s="453"/>
      <c r="G150" s="188">
        <v>0.03829</v>
      </c>
      <c r="H150" s="200">
        <v>0</v>
      </c>
      <c r="I150" s="200">
        <v>3355</v>
      </c>
      <c r="J150" s="200">
        <v>3430</v>
      </c>
      <c r="K150" s="200">
        <v>1525</v>
      </c>
      <c r="L150" s="200">
        <v>1325</v>
      </c>
      <c r="M150" s="200">
        <v>1125</v>
      </c>
      <c r="N150" s="200">
        <v>925</v>
      </c>
      <c r="O150" s="200">
        <v>720</v>
      </c>
      <c r="P150" s="200">
        <v>520</v>
      </c>
      <c r="Q150" s="200">
        <v>320</v>
      </c>
      <c r="R150" s="200">
        <v>120</v>
      </c>
      <c r="S150" s="200"/>
      <c r="T150" s="200"/>
      <c r="U150" s="200"/>
      <c r="V150" s="200"/>
      <c r="W150" s="200">
        <v>0</v>
      </c>
      <c r="X150" s="175">
        <f t="shared" si="7"/>
        <v>13365</v>
      </c>
    </row>
    <row r="151" spans="1:24" s="144" customFormat="1" ht="12.75" customHeight="1">
      <c r="A151" s="520">
        <v>73</v>
      </c>
      <c r="B151" s="164" t="s">
        <v>475</v>
      </c>
      <c r="C151" s="450" t="s">
        <v>790</v>
      </c>
      <c r="D151" s="450">
        <v>707</v>
      </c>
      <c r="E151" s="522">
        <v>59840</v>
      </c>
      <c r="F151" s="452" t="s">
        <v>786</v>
      </c>
      <c r="G151" s="193" t="s">
        <v>478</v>
      </c>
      <c r="H151" s="198"/>
      <c r="I151" s="198"/>
      <c r="J151" s="198">
        <v>6830</v>
      </c>
      <c r="K151" s="198">
        <v>6840</v>
      </c>
      <c r="L151" s="198">
        <v>6840</v>
      </c>
      <c r="M151" s="198">
        <v>6840</v>
      </c>
      <c r="N151" s="198">
        <v>6840</v>
      </c>
      <c r="O151" s="198">
        <v>6840</v>
      </c>
      <c r="P151" s="198">
        <v>6840</v>
      </c>
      <c r="Q151" s="198">
        <v>6840</v>
      </c>
      <c r="R151" s="198">
        <v>5130</v>
      </c>
      <c r="S151" s="198"/>
      <c r="T151" s="198"/>
      <c r="U151" s="198"/>
      <c r="V151" s="198"/>
      <c r="W151" s="198">
        <v>0</v>
      </c>
      <c r="X151" s="174">
        <f t="shared" si="7"/>
        <v>59840</v>
      </c>
    </row>
    <row r="152" spans="1:24" s="144" customFormat="1" ht="15" customHeight="1">
      <c r="A152" s="521"/>
      <c r="B152" s="184" t="s">
        <v>791</v>
      </c>
      <c r="C152" s="451"/>
      <c r="D152" s="451"/>
      <c r="E152" s="523"/>
      <c r="F152" s="453"/>
      <c r="G152" s="188">
        <v>0.03829</v>
      </c>
      <c r="H152" s="200">
        <v>0</v>
      </c>
      <c r="I152" s="200">
        <v>2325</v>
      </c>
      <c r="J152" s="200">
        <v>2380</v>
      </c>
      <c r="K152" s="200">
        <v>1055</v>
      </c>
      <c r="L152" s="200">
        <v>915</v>
      </c>
      <c r="M152" s="200">
        <v>780</v>
      </c>
      <c r="N152" s="200">
        <v>640</v>
      </c>
      <c r="O152" s="200">
        <v>500</v>
      </c>
      <c r="P152" s="200">
        <v>365</v>
      </c>
      <c r="Q152" s="200">
        <v>225</v>
      </c>
      <c r="R152" s="200">
        <v>85</v>
      </c>
      <c r="S152" s="200"/>
      <c r="T152" s="200"/>
      <c r="U152" s="200"/>
      <c r="V152" s="200"/>
      <c r="W152" s="200">
        <v>0</v>
      </c>
      <c r="X152" s="175">
        <f t="shared" si="7"/>
        <v>9270</v>
      </c>
    </row>
    <row r="153" spans="1:24" s="144" customFormat="1" ht="12.75" customHeight="1">
      <c r="A153" s="520">
        <v>74</v>
      </c>
      <c r="B153" s="164" t="s">
        <v>475</v>
      </c>
      <c r="C153" s="450" t="s">
        <v>792</v>
      </c>
      <c r="D153" s="450">
        <v>708</v>
      </c>
      <c r="E153" s="522">
        <v>94375</v>
      </c>
      <c r="F153" s="452" t="s">
        <v>786</v>
      </c>
      <c r="G153" s="193" t="s">
        <v>478</v>
      </c>
      <c r="H153" s="198"/>
      <c r="I153" s="198"/>
      <c r="J153" s="199">
        <v>10768</v>
      </c>
      <c r="K153" s="199">
        <v>10788</v>
      </c>
      <c r="L153" s="199">
        <v>10788</v>
      </c>
      <c r="M153" s="199">
        <v>10788</v>
      </c>
      <c r="N153" s="199">
        <v>10788</v>
      </c>
      <c r="O153" s="199">
        <v>10788</v>
      </c>
      <c r="P153" s="199">
        <v>10788</v>
      </c>
      <c r="Q153" s="199">
        <v>10788</v>
      </c>
      <c r="R153" s="199">
        <v>8091</v>
      </c>
      <c r="S153" s="198"/>
      <c r="T153" s="198"/>
      <c r="U153" s="198"/>
      <c r="V153" s="198"/>
      <c r="W153" s="198">
        <v>0</v>
      </c>
      <c r="X153" s="174">
        <f aca="true" t="shared" si="8" ref="X153:X160">SUM(H153:W153)</f>
        <v>94375</v>
      </c>
    </row>
    <row r="154" spans="1:24" s="144" customFormat="1" ht="15" customHeight="1">
      <c r="A154" s="521"/>
      <c r="B154" s="184" t="s">
        <v>793</v>
      </c>
      <c r="C154" s="451"/>
      <c r="D154" s="451"/>
      <c r="E154" s="523"/>
      <c r="F154" s="453"/>
      <c r="G154" s="188">
        <v>0.03829</v>
      </c>
      <c r="H154" s="200">
        <v>0</v>
      </c>
      <c r="I154" s="200">
        <v>3665</v>
      </c>
      <c r="J154" s="200">
        <v>3750</v>
      </c>
      <c r="K154" s="200">
        <v>1665</v>
      </c>
      <c r="L154" s="200">
        <v>1445</v>
      </c>
      <c r="M154" s="200">
        <v>1225</v>
      </c>
      <c r="N154" s="200">
        <v>1010</v>
      </c>
      <c r="O154" s="200">
        <v>790</v>
      </c>
      <c r="P154" s="200">
        <v>570</v>
      </c>
      <c r="Q154" s="200">
        <v>350</v>
      </c>
      <c r="R154" s="200">
        <v>135</v>
      </c>
      <c r="S154" s="200"/>
      <c r="T154" s="200"/>
      <c r="U154" s="200"/>
      <c r="V154" s="200"/>
      <c r="W154" s="200">
        <v>0</v>
      </c>
      <c r="X154" s="175">
        <f t="shared" si="8"/>
        <v>14605</v>
      </c>
    </row>
    <row r="155" spans="1:24" s="144" customFormat="1" ht="19.5" customHeight="1">
      <c r="A155" s="520">
        <v>75</v>
      </c>
      <c r="B155" s="164" t="s">
        <v>475</v>
      </c>
      <c r="C155" s="450" t="s">
        <v>741</v>
      </c>
      <c r="D155" s="450">
        <v>709</v>
      </c>
      <c r="E155" s="522">
        <v>59072</v>
      </c>
      <c r="F155" s="452" t="s">
        <v>796</v>
      </c>
      <c r="G155" s="193" t="s">
        <v>478</v>
      </c>
      <c r="H155" s="198"/>
      <c r="I155" s="198"/>
      <c r="J155" s="198">
        <v>14768</v>
      </c>
      <c r="K155" s="198">
        <v>14768</v>
      </c>
      <c r="L155" s="198">
        <v>14768</v>
      </c>
      <c r="M155" s="198">
        <v>14768</v>
      </c>
      <c r="N155" s="198"/>
      <c r="O155" s="198"/>
      <c r="P155" s="198"/>
      <c r="Q155" s="198"/>
      <c r="R155" s="198"/>
      <c r="S155" s="198"/>
      <c r="T155" s="198"/>
      <c r="U155" s="198"/>
      <c r="V155" s="198"/>
      <c r="W155" s="198">
        <v>0</v>
      </c>
      <c r="X155" s="174">
        <f t="shared" si="8"/>
        <v>59072</v>
      </c>
    </row>
    <row r="156" spans="1:24" s="144" customFormat="1" ht="18.75" customHeight="1">
      <c r="A156" s="521"/>
      <c r="B156" s="184" t="s">
        <v>795</v>
      </c>
      <c r="C156" s="451"/>
      <c r="D156" s="451"/>
      <c r="E156" s="523"/>
      <c r="F156" s="453"/>
      <c r="G156" s="188">
        <v>0.04235</v>
      </c>
      <c r="H156" s="200">
        <v>0</v>
      </c>
      <c r="I156" s="200">
        <v>2540</v>
      </c>
      <c r="J156" s="200">
        <v>1995</v>
      </c>
      <c r="K156" s="200">
        <v>855</v>
      </c>
      <c r="L156" s="200">
        <v>555</v>
      </c>
      <c r="M156" s="200">
        <v>255</v>
      </c>
      <c r="N156" s="200">
        <v>20</v>
      </c>
      <c r="O156" s="200"/>
      <c r="P156" s="200"/>
      <c r="Q156" s="200"/>
      <c r="R156" s="200"/>
      <c r="S156" s="200"/>
      <c r="T156" s="200"/>
      <c r="U156" s="200"/>
      <c r="V156" s="200"/>
      <c r="W156" s="200">
        <v>0</v>
      </c>
      <c r="X156" s="175">
        <f t="shared" si="8"/>
        <v>6220</v>
      </c>
    </row>
    <row r="157" spans="1:24" s="325" customFormat="1" ht="20.25" customHeight="1">
      <c r="A157" s="494">
        <v>76</v>
      </c>
      <c r="B157" s="164" t="s">
        <v>475</v>
      </c>
      <c r="C157" s="450" t="s">
        <v>650</v>
      </c>
      <c r="D157" s="446">
        <v>710</v>
      </c>
      <c r="E157" s="522">
        <f>680163</f>
        <v>680163</v>
      </c>
      <c r="F157" s="448" t="s">
        <v>799</v>
      </c>
      <c r="G157" s="193" t="s">
        <v>478</v>
      </c>
      <c r="H157" s="198"/>
      <c r="I157" s="198"/>
      <c r="J157" s="198">
        <v>11859</v>
      </c>
      <c r="K157" s="198">
        <v>23868</v>
      </c>
      <c r="L157" s="198">
        <v>23868</v>
      </c>
      <c r="M157" s="198">
        <v>23868</v>
      </c>
      <c r="N157" s="198">
        <v>23868</v>
      </c>
      <c r="O157" s="198">
        <v>23868</v>
      </c>
      <c r="P157" s="198">
        <v>23868</v>
      </c>
      <c r="Q157" s="198">
        <v>23868</v>
      </c>
      <c r="R157" s="198">
        <v>23868</v>
      </c>
      <c r="S157" s="198">
        <v>23868</v>
      </c>
      <c r="T157" s="198">
        <v>23868</v>
      </c>
      <c r="U157" s="198">
        <v>23868</v>
      </c>
      <c r="V157" s="198">
        <v>23868</v>
      </c>
      <c r="W157" s="198">
        <v>381888</v>
      </c>
      <c r="X157" s="323">
        <f t="shared" si="8"/>
        <v>680163</v>
      </c>
    </row>
    <row r="158" spans="1:24" s="325" customFormat="1" ht="16.5" customHeight="1">
      <c r="A158" s="495"/>
      <c r="B158" s="184" t="s">
        <v>800</v>
      </c>
      <c r="C158" s="451"/>
      <c r="D158" s="447"/>
      <c r="E158" s="523"/>
      <c r="F158" s="449"/>
      <c r="G158" s="188">
        <v>0.05292</v>
      </c>
      <c r="H158" s="200">
        <v>0</v>
      </c>
      <c r="I158" s="200">
        <v>28460</v>
      </c>
      <c r="J158" s="200">
        <v>34570</v>
      </c>
      <c r="K158" s="200">
        <v>13480</v>
      </c>
      <c r="L158" s="200">
        <v>12995</v>
      </c>
      <c r="M158" s="200">
        <v>12510</v>
      </c>
      <c r="N158" s="200">
        <v>12060</v>
      </c>
      <c r="O158" s="200">
        <v>11545</v>
      </c>
      <c r="P158" s="200">
        <v>11060</v>
      </c>
      <c r="Q158" s="200">
        <v>10575</v>
      </c>
      <c r="R158" s="200">
        <v>10120</v>
      </c>
      <c r="S158" s="200">
        <v>9610</v>
      </c>
      <c r="T158" s="200">
        <v>9125</v>
      </c>
      <c r="U158" s="200">
        <v>8640</v>
      </c>
      <c r="V158" s="200">
        <v>8180</v>
      </c>
      <c r="W158" s="200">
        <v>64670</v>
      </c>
      <c r="X158" s="324">
        <f t="shared" si="8"/>
        <v>257600</v>
      </c>
    </row>
    <row r="159" spans="1:24" s="318" customFormat="1" ht="19.5" customHeight="1" hidden="1">
      <c r="A159" s="494"/>
      <c r="B159" s="164"/>
      <c r="C159" s="450"/>
      <c r="D159" s="446"/>
      <c r="E159" s="522"/>
      <c r="F159" s="448"/>
      <c r="G159" s="193"/>
      <c r="H159" s="198"/>
      <c r="I159" s="198"/>
      <c r="J159" s="198"/>
      <c r="K159" s="198"/>
      <c r="L159" s="198"/>
      <c r="M159" s="198"/>
      <c r="N159" s="198"/>
      <c r="O159" s="198"/>
      <c r="P159" s="198"/>
      <c r="Q159" s="198"/>
      <c r="R159" s="198"/>
      <c r="S159" s="198"/>
      <c r="T159" s="198"/>
      <c r="U159" s="198"/>
      <c r="V159" s="198"/>
      <c r="W159" s="198"/>
      <c r="X159" s="315">
        <f>SUM(H159:W159)</f>
        <v>0</v>
      </c>
    </row>
    <row r="160" spans="1:24" s="318" customFormat="1" ht="18" customHeight="1" hidden="1">
      <c r="A160" s="495"/>
      <c r="B160" s="184"/>
      <c r="C160" s="451"/>
      <c r="D160" s="447"/>
      <c r="E160" s="523"/>
      <c r="F160" s="449"/>
      <c r="G160" s="188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  <c r="S160" s="200"/>
      <c r="T160" s="200"/>
      <c r="U160" s="200"/>
      <c r="V160" s="200"/>
      <c r="W160" s="200"/>
      <c r="X160" s="317">
        <f t="shared" si="8"/>
        <v>0</v>
      </c>
    </row>
    <row r="161" spans="1:24" s="100" customFormat="1" ht="13.5" customHeight="1">
      <c r="A161" s="210"/>
      <c r="B161" s="477" t="s">
        <v>622</v>
      </c>
      <c r="C161" s="478"/>
      <c r="D161" s="478"/>
      <c r="E161" s="478"/>
      <c r="F161" s="479"/>
      <c r="G161" s="211"/>
      <c r="H161" s="212">
        <f>SUM(H9+H11+H13+H15+H17+H23+H19+H21+H25+H27+H33+H31+H29+H35+H37+H39)+H41+H43+H45+H7+H47+H49+H51+H53+H55+H57+H61+H59+H63+H65+H67+H87+H69+H71+H73+H75+H77+H79+H81+H83+H85+H89+H91+H93+H95+H97+H99+H101+H103+H105+H107+H109+H111+H113+H115+H117+H119+H121+H123++H125+H127+H129+H131+H133+H135+H137+H139+H141+H143+H145+H147+H149+H151+H153+H155+H159+H157</f>
        <v>4874312.21</v>
      </c>
      <c r="I161" s="212">
        <f aca="true" t="shared" si="9" ref="I161:W161">SUM(I9+I11+I13+I15+I17+I23+I19+I21+I25+I27+I33+I31+I29+I35+I37+I39)+I41+I43+I45+I7+I47+I49+I51+I53+I55+I57+I61+I59+I63+I65+I67+I87+I69+I71+I73+I75+I77+I79+I81+I83+I85+I89+I91+I93+I95+I97+I99+I101+I103+I105+I107+I109+I111+I113+I115+I117+I119+I121+I123++I125+I127+I129+I131+I133+I135+I137+I139+I141+I143+I145+I147+I149+I151+I153+I155+I159+I157</f>
        <v>4539763.469999999</v>
      </c>
      <c r="J161" s="212">
        <f t="shared" si="9"/>
        <v>4660136.32</v>
      </c>
      <c r="K161" s="212">
        <f t="shared" si="9"/>
        <v>4938173</v>
      </c>
      <c r="L161" s="212">
        <f t="shared" si="9"/>
        <v>5053564.02</v>
      </c>
      <c r="M161" s="212">
        <f t="shared" si="9"/>
        <v>4114476</v>
      </c>
      <c r="N161" s="212">
        <f t="shared" si="9"/>
        <v>3887560.66</v>
      </c>
      <c r="O161" s="212">
        <f t="shared" si="9"/>
        <v>3971780</v>
      </c>
      <c r="P161" s="212">
        <f t="shared" si="9"/>
        <v>4145850</v>
      </c>
      <c r="Q161" s="212">
        <f t="shared" si="9"/>
        <v>4256127</v>
      </c>
      <c r="R161" s="212">
        <f t="shared" si="9"/>
        <v>4188462</v>
      </c>
      <c r="S161" s="212">
        <f t="shared" si="9"/>
        <v>4131128</v>
      </c>
      <c r="T161" s="212">
        <f t="shared" si="9"/>
        <v>3674728</v>
      </c>
      <c r="U161" s="212">
        <f t="shared" si="9"/>
        <v>3355674.76</v>
      </c>
      <c r="V161" s="212">
        <f t="shared" si="9"/>
        <v>3281955.1100000003</v>
      </c>
      <c r="W161" s="212">
        <f t="shared" si="9"/>
        <v>33984505.150000006</v>
      </c>
      <c r="X161" s="212">
        <f>SUM(X9+X11+X13+X15+X17+X23+X19+X21+X25+X27+X33+X31+X29+X35+X37+X39)+X41+X43+X45+X7+X47+X49+X51+X53+X55+X57+X61+X59+X63+X65+X67+X87+X69+X71+X73+X75+X77+X79+X81+X83+X85+X89+X91+X93+X95+X97+X99+X101+X103+X105+X107+X109+X111+X113+X115+X117+X119+X121+X123++X125+X127+X129+X131+X133+X135+X137+X139+X141+X143+X145+X147+X149+X151+X153+X155+X159+X157</f>
        <v>97058195.69999999</v>
      </c>
    </row>
    <row r="162" spans="1:24" s="100" customFormat="1" ht="13.5" thickBot="1">
      <c r="A162" s="213"/>
      <c r="B162" s="477" t="s">
        <v>573</v>
      </c>
      <c r="C162" s="478"/>
      <c r="D162" s="478"/>
      <c r="E162" s="478"/>
      <c r="F162" s="479"/>
      <c r="G162" s="214"/>
      <c r="H162" s="215">
        <f>SUM(H10+H12+H14+H16+H18+H24+H20+H22+H26+H28+H34+H32+H30+H36+H38+H40)+H42+H44+H46+H8+H48+H50+H52+H54+H56+H58+H62+H60+H64+H66+H68+H88+H70+H72+H74+H76+H78+H80+H82+H84+H86+H90+H92+H94+H96+H98+H100+H102+H104+H106+H108+H110+H112+H114+H116+H118+H120+H122+H124+H126+H128+H130+H132+H134+H136+H138+H140+H142+H144+H146+H148+H150+H152+H154+H156+H160+H158</f>
        <v>371107.7200000002</v>
      </c>
      <c r="I162" s="215">
        <f aca="true" t="shared" si="10" ref="I162:W162">SUM(I10+I12+I14+I16+I18+I24+I20+I22+I26+I28+I34+I32+I30+I36+I38+I40)+I42+I44+I46+I8+I48+I50+I52+I54+I56+I58+I62+I60+I64+I66+I68+I88+I70+I72+I74+I76+I78+I80+I82+I84+I86+I90+I92+I94+I96+I98+I100+I102+I104+I106+I108+I110+I112+I114+I116+I118+I120+I122+I124+I126+I128+I130+I132+I134+I136+I138+I140+I142+I144+I146+I148+I150+I152+I154+I156+I160+I158</f>
        <v>2331085</v>
      </c>
      <c r="J162" s="215">
        <f t="shared" si="10"/>
        <v>3493555</v>
      </c>
      <c r="K162" s="215">
        <f t="shared" si="10"/>
        <v>1667355</v>
      </c>
      <c r="L162" s="215">
        <f t="shared" si="10"/>
        <v>1566860</v>
      </c>
      <c r="M162" s="215">
        <f t="shared" si="10"/>
        <v>1468515</v>
      </c>
      <c r="N162" s="215">
        <f t="shared" si="10"/>
        <v>1385610</v>
      </c>
      <c r="O162" s="215">
        <f t="shared" si="10"/>
        <v>1305450</v>
      </c>
      <c r="P162" s="215">
        <f t="shared" si="10"/>
        <v>1224370</v>
      </c>
      <c r="Q162" s="215">
        <f t="shared" si="10"/>
        <v>1139910</v>
      </c>
      <c r="R162" s="215">
        <f t="shared" si="10"/>
        <v>1056845</v>
      </c>
      <c r="S162" s="215">
        <f t="shared" si="10"/>
        <v>969300</v>
      </c>
      <c r="T162" s="215">
        <f t="shared" si="10"/>
        <v>887405</v>
      </c>
      <c r="U162" s="215">
        <f t="shared" si="10"/>
        <v>813585</v>
      </c>
      <c r="V162" s="215">
        <f t="shared" si="10"/>
        <v>747610</v>
      </c>
      <c r="W162" s="215">
        <f t="shared" si="10"/>
        <v>4403890</v>
      </c>
      <c r="X162" s="215">
        <f>SUM(X10+X12+X14+X16+X18+X24+X20+X22+X26+X28+X34+X32+X30+X36+X38+X40)+X42+X44+X46+X8+X48+X50+X52+X54+X56+X58+X62+X60+X64+X66+X68+X88+X70+X72+X74+X76+X78+X80+X82+X84+X86+X90+X92+X94+X96+X98+X100+X102+X104+X106+X108+X110+X112+X114+X116+X118+X120+X122+X124+X126+X128+X130+X132+X134+X136+X138+X140+X142+X144+X146+X148+X150+X152+X154+X156+X160+X158</f>
        <v>24832452.720000003</v>
      </c>
    </row>
    <row r="163" spans="1:24" s="100" customFormat="1" ht="13.5" thickTop="1">
      <c r="A163" s="216"/>
      <c r="B163" s="457" t="s">
        <v>574</v>
      </c>
      <c r="C163" s="458"/>
      <c r="D163" s="458"/>
      <c r="E163" s="458"/>
      <c r="F163" s="458"/>
      <c r="G163" s="217"/>
      <c r="H163" s="218">
        <f>SUM(H161:H162)</f>
        <v>5245419.93</v>
      </c>
      <c r="I163" s="218">
        <f aca="true" t="shared" si="11" ref="I163:W163">SUM(I161:I162)</f>
        <v>6870848.469999999</v>
      </c>
      <c r="J163" s="218">
        <f t="shared" si="11"/>
        <v>8153691.32</v>
      </c>
      <c r="K163" s="218">
        <f t="shared" si="11"/>
        <v>6605528</v>
      </c>
      <c r="L163" s="218">
        <f t="shared" si="11"/>
        <v>6620424.02</v>
      </c>
      <c r="M163" s="218">
        <f t="shared" si="11"/>
        <v>5582991</v>
      </c>
      <c r="N163" s="218">
        <f t="shared" si="11"/>
        <v>5273170.66</v>
      </c>
      <c r="O163" s="218">
        <f t="shared" si="11"/>
        <v>5277230</v>
      </c>
      <c r="P163" s="218">
        <f t="shared" si="11"/>
        <v>5370220</v>
      </c>
      <c r="Q163" s="218">
        <f t="shared" si="11"/>
        <v>5396037</v>
      </c>
      <c r="R163" s="218">
        <f t="shared" si="11"/>
        <v>5245307</v>
      </c>
      <c r="S163" s="218">
        <f t="shared" si="11"/>
        <v>5100428</v>
      </c>
      <c r="T163" s="218">
        <f t="shared" si="11"/>
        <v>4562133</v>
      </c>
      <c r="U163" s="218">
        <f t="shared" si="11"/>
        <v>4169259.76</v>
      </c>
      <c r="V163" s="218">
        <f t="shared" si="11"/>
        <v>4029565.1100000003</v>
      </c>
      <c r="W163" s="218">
        <f t="shared" si="11"/>
        <v>38388395.150000006</v>
      </c>
      <c r="X163" s="218">
        <f>SUM(X161:X162)</f>
        <v>121890648.41999999</v>
      </c>
    </row>
    <row r="164" spans="1:24" s="103" customFormat="1" ht="12.75">
      <c r="A164" s="219"/>
      <c r="B164" s="524" t="s">
        <v>575</v>
      </c>
      <c r="C164" s="455"/>
      <c r="D164" s="455"/>
      <c r="E164" s="455"/>
      <c r="F164" s="525"/>
      <c r="G164" s="220" t="s">
        <v>576</v>
      </c>
      <c r="H164" s="221">
        <f>SUM(H163/$E$167)</f>
        <v>0.0832106955049786</v>
      </c>
      <c r="I164" s="221">
        <f aca="true" t="shared" si="12" ref="I164:V164">SUM(I163/$E$167)</f>
        <v>0.10899567385027609</v>
      </c>
      <c r="J164" s="221">
        <f t="shared" si="12"/>
        <v>0.12934604564064084</v>
      </c>
      <c r="K164" s="221">
        <f t="shared" si="12"/>
        <v>0.1047867637658536</v>
      </c>
      <c r="L164" s="221">
        <f t="shared" si="12"/>
        <v>0.10502306671223297</v>
      </c>
      <c r="M164" s="221">
        <f t="shared" si="12"/>
        <v>0.08856575265805955</v>
      </c>
      <c r="N164" s="222">
        <f t="shared" si="12"/>
        <v>0.08365091908571887</v>
      </c>
      <c r="O164" s="222">
        <f t="shared" si="12"/>
        <v>0.08371531440758037</v>
      </c>
      <c r="P164" s="222">
        <f t="shared" si="12"/>
        <v>0.08519046085500846</v>
      </c>
      <c r="Q164" s="222">
        <f t="shared" si="12"/>
        <v>0.08560000871857713</v>
      </c>
      <c r="R164" s="222">
        <f t="shared" si="12"/>
        <v>0.08320890404043071</v>
      </c>
      <c r="S164" s="222">
        <f t="shared" si="12"/>
        <v>0.08091061667451037</v>
      </c>
      <c r="T164" s="222">
        <f t="shared" si="12"/>
        <v>0.07237137635922594</v>
      </c>
      <c r="U164" s="222">
        <f t="shared" si="12"/>
        <v>0.06613903348068458</v>
      </c>
      <c r="V164" s="222">
        <f t="shared" si="12"/>
        <v>0.0639229880277089</v>
      </c>
      <c r="W164" s="223"/>
      <c r="X164" s="224"/>
    </row>
    <row r="165" spans="1:24" s="100" customFormat="1" ht="12.75">
      <c r="A165" s="225"/>
      <c r="B165" s="524" t="s">
        <v>577</v>
      </c>
      <c r="C165" s="455"/>
      <c r="D165" s="455"/>
      <c r="E165" s="455"/>
      <c r="F165" s="455"/>
      <c r="G165" s="226" t="s">
        <v>576</v>
      </c>
      <c r="H165" s="227">
        <f>SUM((H163-H169)/$E$167)</f>
        <v>0.08154508082601665</v>
      </c>
      <c r="I165" s="227">
        <f aca="true" t="shared" si="13" ref="I165:V165">SUM((I163-I170)/$E$167)</f>
        <v>0.10899567385027609</v>
      </c>
      <c r="J165" s="227">
        <f t="shared" si="13"/>
        <v>0.12934604564064084</v>
      </c>
      <c r="K165" s="227">
        <f t="shared" si="13"/>
        <v>0.1047867637658536</v>
      </c>
      <c r="L165" s="227">
        <f t="shared" si="13"/>
        <v>0.10502306671223297</v>
      </c>
      <c r="M165" s="227">
        <f t="shared" si="13"/>
        <v>0.08856575265805955</v>
      </c>
      <c r="N165" s="227">
        <f t="shared" si="13"/>
        <v>0.08365091908571887</v>
      </c>
      <c r="O165" s="227">
        <f t="shared" si="13"/>
        <v>0.08371531440758037</v>
      </c>
      <c r="P165" s="227">
        <f t="shared" si="13"/>
        <v>0.08519046085500846</v>
      </c>
      <c r="Q165" s="227">
        <f t="shared" si="13"/>
        <v>0.08560000871857713</v>
      </c>
      <c r="R165" s="227">
        <f t="shared" si="13"/>
        <v>0.08320890404043071</v>
      </c>
      <c r="S165" s="227">
        <f t="shared" si="13"/>
        <v>0.08091061667451037</v>
      </c>
      <c r="T165" s="227">
        <f t="shared" si="13"/>
        <v>0.07237137635922594</v>
      </c>
      <c r="U165" s="227">
        <f t="shared" si="13"/>
        <v>0.06613903348068458</v>
      </c>
      <c r="V165" s="227">
        <f t="shared" si="13"/>
        <v>0.0639229880277089</v>
      </c>
      <c r="W165" s="228"/>
      <c r="X165" s="229"/>
    </row>
    <row r="166" spans="1:24" s="100" customFormat="1" ht="15" customHeight="1">
      <c r="A166" s="137"/>
      <c r="B166" s="459" t="s">
        <v>623</v>
      </c>
      <c r="C166" s="460"/>
      <c r="D166" s="461"/>
      <c r="E166" s="230">
        <f>SUM(E7:E160)</f>
        <v>119696607.43</v>
      </c>
      <c r="F166" s="203"/>
      <c r="G166" s="331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2"/>
      <c r="W166" s="162"/>
      <c r="X166" s="204"/>
    </row>
    <row r="167" spans="1:24" s="100" customFormat="1" ht="15" customHeight="1">
      <c r="A167" s="137"/>
      <c r="B167" s="459" t="s">
        <v>624</v>
      </c>
      <c r="C167" s="460"/>
      <c r="D167" s="461"/>
      <c r="E167" s="327">
        <f>'1.pielikums'!E9-'1.pielikums'!E54</f>
        <v>63037809</v>
      </c>
      <c r="F167" s="203"/>
      <c r="G167" s="331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2"/>
      <c r="W167" s="162"/>
      <c r="X167" s="204"/>
    </row>
    <row r="168" spans="1:24" ht="15" customHeight="1">
      <c r="A168" s="137"/>
      <c r="B168" s="143"/>
      <c r="C168" s="196"/>
      <c r="D168" s="196"/>
      <c r="E168" s="166"/>
      <c r="F168" s="196"/>
      <c r="G168" s="331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2"/>
      <c r="W168" s="162"/>
      <c r="X168" s="204"/>
    </row>
    <row r="169" spans="1:24" s="100" customFormat="1" ht="15" customHeight="1">
      <c r="A169" s="137"/>
      <c r="B169" s="143"/>
      <c r="C169" s="166"/>
      <c r="D169" s="196"/>
      <c r="E169" s="487" t="s">
        <v>797</v>
      </c>
      <c r="F169" s="487"/>
      <c r="G169" s="487"/>
      <c r="H169" s="314">
        <f>H107+H131+H127+H61-2250+H135</f>
        <v>104996.7</v>
      </c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2"/>
      <c r="W169" s="162"/>
      <c r="X169" s="204"/>
    </row>
    <row r="170" spans="1:24" s="100" customFormat="1" ht="27.75" customHeight="1">
      <c r="A170" s="137"/>
      <c r="B170" s="143"/>
      <c r="C170" s="196"/>
      <c r="D170" s="196"/>
      <c r="E170" s="488" t="s">
        <v>798</v>
      </c>
      <c r="F170" s="489"/>
      <c r="G170" s="490"/>
      <c r="H170" s="231">
        <f>380270-1111.62-1511.7-57053.49-24451.49-1124.47-7237.8-12506.13</f>
        <v>275273.30000000005</v>
      </c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80"/>
      <c r="W170" s="180"/>
      <c r="X170" s="204"/>
    </row>
    <row r="171" spans="1:24" s="100" customFormat="1" ht="15" customHeight="1">
      <c r="A171" s="137"/>
      <c r="B171" s="143"/>
      <c r="C171" s="196"/>
      <c r="D171" s="196"/>
      <c r="E171" s="491" t="s">
        <v>725</v>
      </c>
      <c r="F171" s="491"/>
      <c r="G171" s="491"/>
      <c r="H171" s="231">
        <f>4753925.01+15390.5</f>
        <v>4769315.51</v>
      </c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80"/>
      <c r="W171" s="180"/>
      <c r="X171" s="204"/>
    </row>
    <row r="172" spans="1:24" ht="15" customHeight="1" hidden="1">
      <c r="A172" s="137"/>
      <c r="B172" s="143"/>
      <c r="C172" s="196"/>
      <c r="D172" s="196"/>
      <c r="E172" s="492"/>
      <c r="F172" s="492"/>
      <c r="G172" s="492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80"/>
      <c r="W172" s="180"/>
      <c r="X172" s="204"/>
    </row>
    <row r="173" spans="1:24" ht="12.75" hidden="1">
      <c r="A173" s="137"/>
      <c r="B173" s="143"/>
      <c r="D173" s="138"/>
      <c r="E173" s="194"/>
      <c r="F173" s="195"/>
      <c r="G173" s="332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62"/>
      <c r="W173" s="162"/>
      <c r="X173" s="205"/>
    </row>
    <row r="174" spans="1:24" s="145" customFormat="1" ht="15" customHeight="1" hidden="1">
      <c r="A174" s="137"/>
      <c r="B174" s="143"/>
      <c r="C174" s="493" t="s">
        <v>578</v>
      </c>
      <c r="D174" s="493"/>
      <c r="E174" s="493"/>
      <c r="F174" s="493"/>
      <c r="G174" s="493"/>
      <c r="H174" s="181"/>
      <c r="I174" s="181">
        <f>I161-H161</f>
        <v>-334548.74000000115</v>
      </c>
      <c r="J174" s="181">
        <f>J161-I161</f>
        <v>120372.85000000149</v>
      </c>
      <c r="K174" s="181">
        <f aca="true" t="shared" si="14" ref="K174:V174">K161-J161</f>
        <v>278036.6799999997</v>
      </c>
      <c r="L174" s="181">
        <f t="shared" si="14"/>
        <v>115391.01999999955</v>
      </c>
      <c r="M174" s="181">
        <f t="shared" si="14"/>
        <v>-939088.0199999996</v>
      </c>
      <c r="N174" s="181">
        <f t="shared" si="14"/>
        <v>-226915.33999999985</v>
      </c>
      <c r="O174" s="181">
        <f t="shared" si="14"/>
        <v>84219.33999999985</v>
      </c>
      <c r="P174" s="181">
        <f t="shared" si="14"/>
        <v>174070</v>
      </c>
      <c r="Q174" s="181">
        <f t="shared" si="14"/>
        <v>110277</v>
      </c>
      <c r="R174" s="181">
        <f t="shared" si="14"/>
        <v>-67665</v>
      </c>
      <c r="S174" s="181">
        <f t="shared" si="14"/>
        <v>-57334</v>
      </c>
      <c r="T174" s="181">
        <f t="shared" si="14"/>
        <v>-456400</v>
      </c>
      <c r="U174" s="181">
        <f t="shared" si="14"/>
        <v>-319053.2400000002</v>
      </c>
      <c r="V174" s="181">
        <f t="shared" si="14"/>
        <v>-73719.64999999944</v>
      </c>
      <c r="W174" s="182"/>
      <c r="X174" s="204"/>
    </row>
    <row r="175" spans="1:24" s="145" customFormat="1" ht="15" customHeight="1" hidden="1">
      <c r="A175" s="137"/>
      <c r="B175" s="143"/>
      <c r="C175" s="493" t="s">
        <v>579</v>
      </c>
      <c r="D175" s="493"/>
      <c r="E175" s="493"/>
      <c r="F175" s="493"/>
      <c r="G175" s="493"/>
      <c r="H175" s="181"/>
      <c r="I175" s="181">
        <f>I163-H163</f>
        <v>1625428.539999999</v>
      </c>
      <c r="J175" s="181">
        <f>J163-I163</f>
        <v>1282842.8500000015</v>
      </c>
      <c r="K175" s="181">
        <f aca="true" t="shared" si="15" ref="K175:V175">K163-J163</f>
        <v>-1548163.3200000003</v>
      </c>
      <c r="L175" s="181">
        <f t="shared" si="15"/>
        <v>14896.019999999553</v>
      </c>
      <c r="M175" s="181">
        <f t="shared" si="15"/>
        <v>-1037433.0199999996</v>
      </c>
      <c r="N175" s="181">
        <f t="shared" si="15"/>
        <v>-309820.33999999985</v>
      </c>
      <c r="O175" s="181">
        <f t="shared" si="15"/>
        <v>4059.339999999851</v>
      </c>
      <c r="P175" s="181">
        <f t="shared" si="15"/>
        <v>92990</v>
      </c>
      <c r="Q175" s="181">
        <f t="shared" si="15"/>
        <v>25817</v>
      </c>
      <c r="R175" s="181">
        <f t="shared" si="15"/>
        <v>-150730</v>
      </c>
      <c r="S175" s="181">
        <f t="shared" si="15"/>
        <v>-144879</v>
      </c>
      <c r="T175" s="181">
        <f t="shared" si="15"/>
        <v>-538295</v>
      </c>
      <c r="U175" s="181">
        <f t="shared" si="15"/>
        <v>-392873.2400000002</v>
      </c>
      <c r="V175" s="181">
        <f t="shared" si="15"/>
        <v>-139694.64999999944</v>
      </c>
      <c r="W175" s="182"/>
      <c r="X175" s="204"/>
    </row>
    <row r="176" spans="1:24" s="145" customFormat="1" ht="12.75" hidden="1">
      <c r="A176" s="146"/>
      <c r="B176" s="147"/>
      <c r="C176" s="146"/>
      <c r="D176" s="146"/>
      <c r="E176" s="142"/>
      <c r="F176" s="137"/>
      <c r="G176" s="100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206"/>
    </row>
    <row r="177" spans="1:24" s="145" customFormat="1" ht="12.75" hidden="1">
      <c r="A177" s="146"/>
      <c r="B177" s="147"/>
      <c r="C177" s="146"/>
      <c r="D177" s="146"/>
      <c r="E177" s="142"/>
      <c r="F177" s="137"/>
      <c r="G177" s="100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206"/>
    </row>
    <row r="178" spans="1:24" s="145" customFormat="1" ht="12.75">
      <c r="A178" s="146"/>
      <c r="B178" s="147"/>
      <c r="C178" s="146"/>
      <c r="D178" s="146"/>
      <c r="E178" s="484" t="s">
        <v>474</v>
      </c>
      <c r="F178" s="485"/>
      <c r="G178" s="486"/>
      <c r="H178" s="328">
        <f>SUM(H169:H177)</f>
        <v>5149585.51</v>
      </c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206"/>
    </row>
    <row r="179" spans="1:24" s="145" customFormat="1" ht="12.75">
      <c r="A179" s="146"/>
      <c r="B179" s="147"/>
      <c r="C179" s="146"/>
      <c r="D179" s="146"/>
      <c r="E179" s="362"/>
      <c r="F179" s="362"/>
      <c r="G179" s="362"/>
      <c r="H179" s="36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206"/>
    </row>
    <row r="180" spans="1:24" s="172" customFormat="1" ht="12.75">
      <c r="A180" s="242"/>
      <c r="B180" s="243" t="s">
        <v>726</v>
      </c>
      <c r="C180" s="242"/>
      <c r="D180" s="242"/>
      <c r="E180" s="244"/>
      <c r="F180" s="100"/>
      <c r="G180" s="100"/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  <c r="R180" s="245"/>
      <c r="S180" s="245"/>
      <c r="T180" s="245"/>
      <c r="U180" s="245"/>
      <c r="V180" s="245"/>
      <c r="W180" s="245"/>
      <c r="X180" s="246"/>
    </row>
    <row r="181" spans="1:24" s="172" customFormat="1" ht="12.75">
      <c r="A181" s="480">
        <v>1</v>
      </c>
      <c r="B181" s="189" t="s">
        <v>475</v>
      </c>
      <c r="C181" s="448" t="s">
        <v>805</v>
      </c>
      <c r="D181" s="164"/>
      <c r="E181" s="473">
        <v>5122338.52</v>
      </c>
      <c r="F181" s="475" t="s">
        <v>580</v>
      </c>
      <c r="G181" s="247" t="s">
        <v>478</v>
      </c>
      <c r="H181" s="161">
        <v>216000</v>
      </c>
      <c r="I181" s="161">
        <v>216000</v>
      </c>
      <c r="J181" s="161">
        <v>216000</v>
      </c>
      <c r="K181" s="161">
        <v>216000</v>
      </c>
      <c r="L181" s="161">
        <v>216000</v>
      </c>
      <c r="M181" s="161">
        <v>216000</v>
      </c>
      <c r="N181" s="161">
        <v>216000</v>
      </c>
      <c r="O181" s="161">
        <v>216000</v>
      </c>
      <c r="P181" s="161">
        <v>216000</v>
      </c>
      <c r="Q181" s="161">
        <v>0</v>
      </c>
      <c r="R181" s="161">
        <v>0</v>
      </c>
      <c r="S181" s="161">
        <v>0</v>
      </c>
      <c r="T181" s="161">
        <v>0</v>
      </c>
      <c r="U181" s="161">
        <v>0</v>
      </c>
      <c r="V181" s="161">
        <v>0</v>
      </c>
      <c r="W181" s="161">
        <v>0</v>
      </c>
      <c r="X181" s="174">
        <f aca="true" t="shared" si="16" ref="X181:X192">SUM(H181:W181)</f>
        <v>1944000</v>
      </c>
    </row>
    <row r="182" spans="1:24" s="172" customFormat="1" ht="12.75">
      <c r="A182" s="481"/>
      <c r="B182" s="239" t="s">
        <v>581</v>
      </c>
      <c r="C182" s="449"/>
      <c r="D182" s="165"/>
      <c r="E182" s="474"/>
      <c r="F182" s="476"/>
      <c r="G182" s="248">
        <v>0.005</v>
      </c>
      <c r="H182" s="232">
        <v>9690</v>
      </c>
      <c r="I182" s="232">
        <v>8595</v>
      </c>
      <c r="J182" s="232">
        <v>7520</v>
      </c>
      <c r="K182" s="232">
        <v>6405</v>
      </c>
      <c r="L182" s="232">
        <v>5310</v>
      </c>
      <c r="M182" s="232">
        <v>4215</v>
      </c>
      <c r="N182" s="232">
        <v>3130</v>
      </c>
      <c r="O182" s="232">
        <v>2025</v>
      </c>
      <c r="P182" s="232">
        <v>930</v>
      </c>
      <c r="Q182" s="232">
        <v>65</v>
      </c>
      <c r="R182" s="232">
        <v>0</v>
      </c>
      <c r="S182" s="232">
        <v>0</v>
      </c>
      <c r="T182" s="232">
        <v>0</v>
      </c>
      <c r="U182" s="232">
        <v>0</v>
      </c>
      <c r="V182" s="232">
        <v>0</v>
      </c>
      <c r="W182" s="232">
        <v>0</v>
      </c>
      <c r="X182" s="175">
        <f t="shared" si="16"/>
        <v>47885</v>
      </c>
    </row>
    <row r="183" spans="1:24" s="172" customFormat="1" ht="12.75">
      <c r="A183" s="480">
        <v>2</v>
      </c>
      <c r="B183" s="189" t="s">
        <v>475</v>
      </c>
      <c r="C183" s="448" t="s">
        <v>804</v>
      </c>
      <c r="D183" s="164"/>
      <c r="E183" s="473">
        <v>522193.95</v>
      </c>
      <c r="F183" s="475" t="s">
        <v>582</v>
      </c>
      <c r="G183" s="247" t="s">
        <v>478</v>
      </c>
      <c r="H183" s="161"/>
      <c r="I183" s="161">
        <v>10699.57</v>
      </c>
      <c r="J183" s="161">
        <v>32139.84</v>
      </c>
      <c r="K183" s="161">
        <v>32139.84</v>
      </c>
      <c r="L183" s="161">
        <v>32139.84</v>
      </c>
      <c r="M183" s="161">
        <v>32139.84</v>
      </c>
      <c r="N183" s="161">
        <v>32139.84</v>
      </c>
      <c r="O183" s="161">
        <v>32139.84</v>
      </c>
      <c r="P183" s="161">
        <v>32061.39</v>
      </c>
      <c r="Q183" s="161">
        <v>0</v>
      </c>
      <c r="R183" s="161">
        <v>0</v>
      </c>
      <c r="S183" s="161">
        <v>0</v>
      </c>
      <c r="T183" s="161">
        <v>0</v>
      </c>
      <c r="U183" s="161">
        <v>0</v>
      </c>
      <c r="V183" s="161">
        <v>0</v>
      </c>
      <c r="W183" s="161">
        <v>0</v>
      </c>
      <c r="X183" s="174">
        <f t="shared" si="16"/>
        <v>235600</v>
      </c>
    </row>
    <row r="184" spans="1:24" s="172" customFormat="1" ht="12.75">
      <c r="A184" s="481"/>
      <c r="B184" s="239" t="s">
        <v>583</v>
      </c>
      <c r="C184" s="449"/>
      <c r="D184" s="165"/>
      <c r="E184" s="474"/>
      <c r="F184" s="476"/>
      <c r="G184" s="248">
        <v>0.005</v>
      </c>
      <c r="H184" s="232">
        <v>1195</v>
      </c>
      <c r="I184" s="232">
        <v>1195</v>
      </c>
      <c r="J184" s="232">
        <v>1120</v>
      </c>
      <c r="K184" s="232">
        <v>955</v>
      </c>
      <c r="L184" s="232">
        <v>790</v>
      </c>
      <c r="M184" s="232">
        <v>630</v>
      </c>
      <c r="N184" s="232">
        <v>465</v>
      </c>
      <c r="O184" s="232">
        <v>305</v>
      </c>
      <c r="P184" s="232">
        <v>140</v>
      </c>
      <c r="Q184" s="232">
        <v>10</v>
      </c>
      <c r="R184" s="232">
        <v>0</v>
      </c>
      <c r="S184" s="232">
        <v>0</v>
      </c>
      <c r="T184" s="232">
        <v>0</v>
      </c>
      <c r="U184" s="232">
        <v>0</v>
      </c>
      <c r="V184" s="232">
        <v>0</v>
      </c>
      <c r="W184" s="232">
        <v>0</v>
      </c>
      <c r="X184" s="175">
        <f t="shared" si="16"/>
        <v>6805</v>
      </c>
    </row>
    <row r="185" spans="1:24" s="172" customFormat="1" ht="12.75">
      <c r="A185" s="480">
        <v>3</v>
      </c>
      <c r="B185" s="189" t="s">
        <v>475</v>
      </c>
      <c r="C185" s="448" t="s">
        <v>803</v>
      </c>
      <c r="D185" s="164"/>
      <c r="E185" s="473">
        <v>5955661.29</v>
      </c>
      <c r="F185" s="448" t="s">
        <v>584</v>
      </c>
      <c r="G185" s="247" t="s">
        <v>478</v>
      </c>
      <c r="H185" s="161"/>
      <c r="I185" s="161">
        <v>218461.29</v>
      </c>
      <c r="J185" s="161">
        <v>218560</v>
      </c>
      <c r="K185" s="161">
        <v>218560</v>
      </c>
      <c r="L185" s="161">
        <v>218560</v>
      </c>
      <c r="M185" s="161">
        <v>218560</v>
      </c>
      <c r="N185" s="161">
        <v>218560</v>
      </c>
      <c r="O185" s="161">
        <v>218560</v>
      </c>
      <c r="P185" s="161">
        <v>218560</v>
      </c>
      <c r="Q185" s="161">
        <v>218560</v>
      </c>
      <c r="R185" s="161">
        <v>218560</v>
      </c>
      <c r="S185" s="161">
        <v>218560</v>
      </c>
      <c r="T185" s="161">
        <v>218560</v>
      </c>
      <c r="U185" s="161">
        <v>218560</v>
      </c>
      <c r="V185" s="161">
        <v>218560</v>
      </c>
      <c r="W185" s="161">
        <v>2895920</v>
      </c>
      <c r="X185" s="174">
        <f t="shared" si="16"/>
        <v>5955661.29</v>
      </c>
    </row>
    <row r="186" spans="1:24" s="172" customFormat="1" ht="12.75">
      <c r="A186" s="481"/>
      <c r="B186" s="239" t="s">
        <v>585</v>
      </c>
      <c r="C186" s="449"/>
      <c r="D186" s="165"/>
      <c r="E186" s="474"/>
      <c r="F186" s="449"/>
      <c r="G186" s="248">
        <v>0.01477</v>
      </c>
      <c r="H186" s="232">
        <f>90355-28860</f>
        <v>61495</v>
      </c>
      <c r="I186" s="232">
        <v>66515</v>
      </c>
      <c r="J186" s="232">
        <v>64360</v>
      </c>
      <c r="K186" s="232">
        <v>61725</v>
      </c>
      <c r="L186" s="232">
        <v>59275</v>
      </c>
      <c r="M186" s="232">
        <v>56810</v>
      </c>
      <c r="N186" s="232">
        <v>54500</v>
      </c>
      <c r="O186" s="232">
        <v>51890</v>
      </c>
      <c r="P186" s="232">
        <v>49435</v>
      </c>
      <c r="Q186" s="232">
        <v>46975</v>
      </c>
      <c r="R186" s="232">
        <v>44635</v>
      </c>
      <c r="S186" s="232">
        <v>42055</v>
      </c>
      <c r="T186" s="232">
        <v>39595</v>
      </c>
      <c r="U186" s="232">
        <v>37135</v>
      </c>
      <c r="V186" s="232">
        <v>34770</v>
      </c>
      <c r="W186" s="232">
        <v>227450</v>
      </c>
      <c r="X186" s="175">
        <f t="shared" si="16"/>
        <v>998620</v>
      </c>
    </row>
    <row r="187" spans="1:24" s="172" customFormat="1" ht="12.75" customHeight="1">
      <c r="A187" s="482">
        <v>4</v>
      </c>
      <c r="B187" s="233" t="s">
        <v>475</v>
      </c>
      <c r="C187" s="471" t="s">
        <v>761</v>
      </c>
      <c r="D187" s="234"/>
      <c r="E187" s="473">
        <v>203978</v>
      </c>
      <c r="F187" s="475" t="s">
        <v>762</v>
      </c>
      <c r="G187" s="235" t="s">
        <v>478</v>
      </c>
      <c r="H187" s="236">
        <v>5164</v>
      </c>
      <c r="I187" s="236">
        <v>10328</v>
      </c>
      <c r="J187" s="236">
        <v>10328</v>
      </c>
      <c r="K187" s="236">
        <v>10328</v>
      </c>
      <c r="L187" s="236">
        <v>10328</v>
      </c>
      <c r="M187" s="236">
        <v>10328</v>
      </c>
      <c r="N187" s="236">
        <v>10328</v>
      </c>
      <c r="O187" s="236">
        <v>10328</v>
      </c>
      <c r="P187" s="236">
        <v>10328</v>
      </c>
      <c r="Q187" s="236">
        <v>10328</v>
      </c>
      <c r="R187" s="236">
        <v>10328</v>
      </c>
      <c r="S187" s="236">
        <v>10328</v>
      </c>
      <c r="T187" s="236">
        <v>10328</v>
      </c>
      <c r="U187" s="236">
        <v>10328</v>
      </c>
      <c r="V187" s="236">
        <v>10328</v>
      </c>
      <c r="W187" s="236">
        <v>54222</v>
      </c>
      <c r="X187" s="174">
        <f t="shared" si="16"/>
        <v>203978</v>
      </c>
    </row>
    <row r="188" spans="1:24" s="172" customFormat="1" ht="12.75">
      <c r="A188" s="483"/>
      <c r="B188" s="237" t="s">
        <v>752</v>
      </c>
      <c r="C188" s="472"/>
      <c r="D188" s="238"/>
      <c r="E188" s="474"/>
      <c r="F188" s="476"/>
      <c r="G188" s="240">
        <v>0.0053</v>
      </c>
      <c r="H188" s="241">
        <v>2285</v>
      </c>
      <c r="I188" s="241">
        <v>2955</v>
      </c>
      <c r="J188" s="241">
        <v>2810</v>
      </c>
      <c r="K188" s="241">
        <v>2645</v>
      </c>
      <c r="L188" s="241">
        <v>2490</v>
      </c>
      <c r="M188" s="241">
        <v>2335</v>
      </c>
      <c r="N188" s="241">
        <v>2190</v>
      </c>
      <c r="O188" s="241">
        <v>2030</v>
      </c>
      <c r="P188" s="241">
        <v>1875</v>
      </c>
      <c r="Q188" s="241">
        <v>1720</v>
      </c>
      <c r="R188" s="241">
        <v>1570</v>
      </c>
      <c r="S188" s="241">
        <v>1410</v>
      </c>
      <c r="T188" s="241">
        <v>1255</v>
      </c>
      <c r="U188" s="241">
        <v>1100</v>
      </c>
      <c r="V188" s="241">
        <v>950</v>
      </c>
      <c r="W188" s="241">
        <v>2425</v>
      </c>
      <c r="X188" s="175">
        <f t="shared" si="16"/>
        <v>32045</v>
      </c>
    </row>
    <row r="189" spans="1:24" s="172" customFormat="1" ht="12.75">
      <c r="A189" s="482">
        <v>5</v>
      </c>
      <c r="B189" s="233" t="s">
        <v>475</v>
      </c>
      <c r="C189" s="471" t="s">
        <v>761</v>
      </c>
      <c r="D189" s="234"/>
      <c r="E189" s="473">
        <v>150829</v>
      </c>
      <c r="F189" s="475" t="s">
        <v>763</v>
      </c>
      <c r="G189" s="235" t="s">
        <v>478</v>
      </c>
      <c r="H189" s="236">
        <v>3721</v>
      </c>
      <c r="I189" s="236">
        <v>7544</v>
      </c>
      <c r="J189" s="236">
        <v>7544</v>
      </c>
      <c r="K189" s="236">
        <v>7544</v>
      </c>
      <c r="L189" s="236">
        <v>7544</v>
      </c>
      <c r="M189" s="236">
        <v>7544</v>
      </c>
      <c r="N189" s="236">
        <v>7544</v>
      </c>
      <c r="O189" s="236">
        <v>7544</v>
      </c>
      <c r="P189" s="236">
        <v>7544</v>
      </c>
      <c r="Q189" s="236">
        <v>7544</v>
      </c>
      <c r="R189" s="236">
        <v>7544</v>
      </c>
      <c r="S189" s="236">
        <v>7544</v>
      </c>
      <c r="T189" s="236">
        <v>7544</v>
      </c>
      <c r="U189" s="236">
        <v>7544</v>
      </c>
      <c r="V189" s="236">
        <v>7544</v>
      </c>
      <c r="W189" s="236">
        <v>41492</v>
      </c>
      <c r="X189" s="174">
        <f t="shared" si="16"/>
        <v>150829</v>
      </c>
    </row>
    <row r="190" spans="1:24" s="172" customFormat="1" ht="12.75">
      <c r="A190" s="483"/>
      <c r="B190" s="237" t="s">
        <v>764</v>
      </c>
      <c r="C190" s="472"/>
      <c r="D190" s="238"/>
      <c r="E190" s="474"/>
      <c r="F190" s="476"/>
      <c r="G190" s="240">
        <f>(0.614+1.39)/100</f>
        <v>0.02004</v>
      </c>
      <c r="H190" s="241">
        <v>1540</v>
      </c>
      <c r="I190" s="241">
        <v>2970</v>
      </c>
      <c r="J190" s="241">
        <v>2820</v>
      </c>
      <c r="K190" s="241">
        <v>2660</v>
      </c>
      <c r="L190" s="241">
        <v>2510</v>
      </c>
      <c r="M190" s="241">
        <v>2355</v>
      </c>
      <c r="N190" s="241">
        <v>2210</v>
      </c>
      <c r="O190" s="241">
        <v>2050</v>
      </c>
      <c r="P190" s="241">
        <v>1895</v>
      </c>
      <c r="Q190" s="241">
        <v>1740</v>
      </c>
      <c r="R190" s="241">
        <v>1595</v>
      </c>
      <c r="S190" s="241">
        <v>1435</v>
      </c>
      <c r="T190" s="241">
        <v>1280</v>
      </c>
      <c r="U190" s="241">
        <v>1130</v>
      </c>
      <c r="V190" s="241">
        <v>980</v>
      </c>
      <c r="W190" s="241">
        <v>2620</v>
      </c>
      <c r="X190" s="175">
        <f t="shared" si="16"/>
        <v>31790</v>
      </c>
    </row>
    <row r="191" spans="1:24" s="172" customFormat="1" ht="12.75" hidden="1">
      <c r="A191" s="482"/>
      <c r="B191" s="233"/>
      <c r="C191" s="471"/>
      <c r="D191" s="234"/>
      <c r="E191" s="473"/>
      <c r="F191" s="448"/>
      <c r="G191" s="235"/>
      <c r="H191" s="236"/>
      <c r="I191" s="236"/>
      <c r="J191" s="236"/>
      <c r="K191" s="236"/>
      <c r="L191" s="236"/>
      <c r="M191" s="236"/>
      <c r="N191" s="236"/>
      <c r="O191" s="236"/>
      <c r="P191" s="236"/>
      <c r="Q191" s="236"/>
      <c r="R191" s="236"/>
      <c r="S191" s="236"/>
      <c r="T191" s="236"/>
      <c r="U191" s="236"/>
      <c r="V191" s="236"/>
      <c r="W191" s="236"/>
      <c r="X191" s="315">
        <f t="shared" si="16"/>
        <v>0</v>
      </c>
    </row>
    <row r="192" spans="1:24" s="172" customFormat="1" ht="12.75" hidden="1">
      <c r="A192" s="483"/>
      <c r="B192" s="237"/>
      <c r="C192" s="472"/>
      <c r="D192" s="238"/>
      <c r="E192" s="474"/>
      <c r="F192" s="449"/>
      <c r="G192" s="240"/>
      <c r="H192" s="241"/>
      <c r="I192" s="241"/>
      <c r="J192" s="241"/>
      <c r="K192" s="241"/>
      <c r="L192" s="241"/>
      <c r="M192" s="241"/>
      <c r="N192" s="241"/>
      <c r="O192" s="241"/>
      <c r="P192" s="241"/>
      <c r="Q192" s="241"/>
      <c r="R192" s="241"/>
      <c r="S192" s="241"/>
      <c r="T192" s="241"/>
      <c r="U192" s="241"/>
      <c r="V192" s="241"/>
      <c r="W192" s="241"/>
      <c r="X192" s="317">
        <f t="shared" si="16"/>
        <v>0</v>
      </c>
    </row>
    <row r="193" spans="1:24" s="172" customFormat="1" ht="12.75">
      <c r="A193" s="249"/>
      <c r="B193" s="477" t="s">
        <v>622</v>
      </c>
      <c r="C193" s="478"/>
      <c r="D193" s="478"/>
      <c r="E193" s="478"/>
      <c r="F193" s="479"/>
      <c r="G193" s="250"/>
      <c r="H193" s="251">
        <f aca="true" t="shared" si="17" ref="H193:V193">H181+H183+H185+H187+H189+H191</f>
        <v>224885</v>
      </c>
      <c r="I193" s="251">
        <f t="shared" si="17"/>
        <v>463032.86</v>
      </c>
      <c r="J193" s="251">
        <f t="shared" si="17"/>
        <v>484571.83999999997</v>
      </c>
      <c r="K193" s="251">
        <f t="shared" si="17"/>
        <v>484571.83999999997</v>
      </c>
      <c r="L193" s="251">
        <f t="shared" si="17"/>
        <v>484571.83999999997</v>
      </c>
      <c r="M193" s="251">
        <f t="shared" si="17"/>
        <v>484571.83999999997</v>
      </c>
      <c r="N193" s="251">
        <f t="shared" si="17"/>
        <v>484571.83999999997</v>
      </c>
      <c r="O193" s="251">
        <f t="shared" si="17"/>
        <v>484571.83999999997</v>
      </c>
      <c r="P193" s="251">
        <f t="shared" si="17"/>
        <v>484493.39</v>
      </c>
      <c r="Q193" s="251">
        <f t="shared" si="17"/>
        <v>236432</v>
      </c>
      <c r="R193" s="251">
        <f t="shared" si="17"/>
        <v>236432</v>
      </c>
      <c r="S193" s="251">
        <f t="shared" si="17"/>
        <v>236432</v>
      </c>
      <c r="T193" s="251">
        <f t="shared" si="17"/>
        <v>236432</v>
      </c>
      <c r="U193" s="251">
        <f t="shared" si="17"/>
        <v>236432</v>
      </c>
      <c r="V193" s="251">
        <f t="shared" si="17"/>
        <v>236432</v>
      </c>
      <c r="W193" s="251">
        <f>W181+W183+W185+W187+W189+W191</f>
        <v>2991634</v>
      </c>
      <c r="X193" s="252">
        <f>X181+X183+X185+X187+X189+X191</f>
        <v>8490068.29</v>
      </c>
    </row>
    <row r="194" spans="1:24" s="172" customFormat="1" ht="13.5" thickBot="1">
      <c r="A194" s="253"/>
      <c r="B194" s="477" t="s">
        <v>573</v>
      </c>
      <c r="C194" s="478"/>
      <c r="D194" s="478"/>
      <c r="E194" s="478"/>
      <c r="F194" s="479"/>
      <c r="G194" s="254"/>
      <c r="H194" s="251">
        <f>H182+H184+H186+H188+H190+H192</f>
        <v>76205</v>
      </c>
      <c r="I194" s="251">
        <f aca="true" t="shared" si="18" ref="I194:W194">I182+I184+I186+I188+I190+I192</f>
        <v>82230</v>
      </c>
      <c r="J194" s="251">
        <f t="shared" si="18"/>
        <v>78630</v>
      </c>
      <c r="K194" s="251">
        <f t="shared" si="18"/>
        <v>74390</v>
      </c>
      <c r="L194" s="251">
        <f t="shared" si="18"/>
        <v>70375</v>
      </c>
      <c r="M194" s="251">
        <f t="shared" si="18"/>
        <v>66345</v>
      </c>
      <c r="N194" s="251">
        <f t="shared" si="18"/>
        <v>62495</v>
      </c>
      <c r="O194" s="251">
        <f t="shared" si="18"/>
        <v>58300</v>
      </c>
      <c r="P194" s="251">
        <f t="shared" si="18"/>
        <v>54275</v>
      </c>
      <c r="Q194" s="251">
        <f t="shared" si="18"/>
        <v>50510</v>
      </c>
      <c r="R194" s="251">
        <f t="shared" si="18"/>
        <v>47800</v>
      </c>
      <c r="S194" s="251">
        <f t="shared" si="18"/>
        <v>44900</v>
      </c>
      <c r="T194" s="251">
        <f t="shared" si="18"/>
        <v>42130</v>
      </c>
      <c r="U194" s="251">
        <f t="shared" si="18"/>
        <v>39365</v>
      </c>
      <c r="V194" s="251">
        <f t="shared" si="18"/>
        <v>36700</v>
      </c>
      <c r="W194" s="251">
        <f t="shared" si="18"/>
        <v>232495</v>
      </c>
      <c r="X194" s="255">
        <f>X182+X184+X186+X188+X190+X192</f>
        <v>1117145</v>
      </c>
    </row>
    <row r="195" spans="1:24" s="172" customFormat="1" ht="13.5" thickTop="1">
      <c r="A195" s="256"/>
      <c r="B195" s="457" t="s">
        <v>586</v>
      </c>
      <c r="C195" s="458"/>
      <c r="D195" s="458"/>
      <c r="E195" s="458"/>
      <c r="F195" s="458"/>
      <c r="G195" s="257"/>
      <c r="H195" s="218">
        <f aca="true" t="shared" si="19" ref="H195:U195">SUM(H193:H194)</f>
        <v>301090</v>
      </c>
      <c r="I195" s="218">
        <f t="shared" si="19"/>
        <v>545262.86</v>
      </c>
      <c r="J195" s="218">
        <f t="shared" si="19"/>
        <v>563201.84</v>
      </c>
      <c r="K195" s="218">
        <f t="shared" si="19"/>
        <v>558961.84</v>
      </c>
      <c r="L195" s="218">
        <f t="shared" si="19"/>
        <v>554946.84</v>
      </c>
      <c r="M195" s="218">
        <f t="shared" si="19"/>
        <v>550916.84</v>
      </c>
      <c r="N195" s="218">
        <f t="shared" si="19"/>
        <v>547066.84</v>
      </c>
      <c r="O195" s="218">
        <f t="shared" si="19"/>
        <v>542871.84</v>
      </c>
      <c r="P195" s="218">
        <f t="shared" si="19"/>
        <v>538768.39</v>
      </c>
      <c r="Q195" s="218">
        <f t="shared" si="19"/>
        <v>286942</v>
      </c>
      <c r="R195" s="218">
        <f t="shared" si="19"/>
        <v>284232</v>
      </c>
      <c r="S195" s="218">
        <f t="shared" si="19"/>
        <v>281332</v>
      </c>
      <c r="T195" s="218">
        <f t="shared" si="19"/>
        <v>278562</v>
      </c>
      <c r="U195" s="218">
        <f t="shared" si="19"/>
        <v>275797</v>
      </c>
      <c r="V195" s="218">
        <f>SUM(V193:V194)</f>
        <v>273132</v>
      </c>
      <c r="W195" s="218">
        <f>SUM(W193:W194)</f>
        <v>3224129</v>
      </c>
      <c r="X195" s="258">
        <f>SUM(X193:X194)</f>
        <v>9607213.29</v>
      </c>
    </row>
    <row r="196" spans="1:24" s="172" customFormat="1" ht="12.75">
      <c r="A196" s="259"/>
      <c r="B196" s="459" t="s">
        <v>751</v>
      </c>
      <c r="C196" s="460"/>
      <c r="D196" s="461"/>
      <c r="E196" s="360">
        <f>E181+E183+E185+E187+E189</f>
        <v>11955000.76</v>
      </c>
      <c r="F196" s="260"/>
      <c r="G196" s="259"/>
      <c r="H196" s="261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261"/>
      <c r="T196" s="261"/>
      <c r="U196" s="261"/>
      <c r="V196" s="261"/>
      <c r="W196" s="261"/>
      <c r="X196" s="261"/>
    </row>
    <row r="197" spans="1:24" s="172" customFormat="1" ht="12.75">
      <c r="A197" s="259"/>
      <c r="B197" s="459" t="s">
        <v>624</v>
      </c>
      <c r="C197" s="460"/>
      <c r="D197" s="461"/>
      <c r="E197" s="361">
        <f>E167</f>
        <v>63037809</v>
      </c>
      <c r="F197" s="262"/>
      <c r="G197" s="262"/>
      <c r="H197" s="261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261"/>
      <c r="T197" s="261"/>
      <c r="U197" s="261"/>
      <c r="V197" s="261"/>
      <c r="W197" s="261"/>
      <c r="X197" s="261"/>
    </row>
    <row r="198" spans="1:24" s="172" customFormat="1" ht="12.75">
      <c r="A198" s="259"/>
      <c r="B198" s="263"/>
      <c r="C198" s="264"/>
      <c r="D198" s="260"/>
      <c r="E198" s="262"/>
      <c r="F198" s="262"/>
      <c r="G198" s="262"/>
      <c r="H198" s="261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261"/>
      <c r="T198" s="261"/>
      <c r="U198" s="261"/>
      <c r="V198" s="261"/>
      <c r="W198" s="261"/>
      <c r="X198" s="261"/>
    </row>
    <row r="199" spans="1:24" s="100" customFormat="1" ht="12.75">
      <c r="A199" s="162"/>
      <c r="B199" s="170"/>
      <c r="C199" s="142"/>
      <c r="D199" s="142"/>
      <c r="E199" s="142"/>
      <c r="F199" s="137"/>
      <c r="H199" s="162"/>
      <c r="I199" s="162"/>
      <c r="J199" s="162"/>
      <c r="K199" s="162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207"/>
    </row>
    <row r="200" spans="1:24" s="172" customFormat="1" ht="12" customHeight="1">
      <c r="A200" s="168"/>
      <c r="B200" s="265"/>
      <c r="C200" s="266" t="s">
        <v>465</v>
      </c>
      <c r="D200" s="266"/>
      <c r="E200" s="244"/>
      <c r="F200" s="100"/>
      <c r="G200" s="100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267"/>
    </row>
    <row r="201" spans="1:24" s="172" customFormat="1" ht="12.75">
      <c r="A201" s="268"/>
      <c r="B201" s="462" t="s">
        <v>622</v>
      </c>
      <c r="C201" s="463"/>
      <c r="D201" s="463"/>
      <c r="E201" s="463"/>
      <c r="F201" s="463"/>
      <c r="G201" s="464"/>
      <c r="H201" s="269">
        <f aca="true" t="shared" si="20" ref="H201:X201">H161+H193</f>
        <v>5099197.21</v>
      </c>
      <c r="I201" s="269">
        <f t="shared" si="20"/>
        <v>5002796.329999999</v>
      </c>
      <c r="J201" s="269">
        <f t="shared" si="20"/>
        <v>5144708.16</v>
      </c>
      <c r="K201" s="269">
        <f t="shared" si="20"/>
        <v>5422744.84</v>
      </c>
      <c r="L201" s="269">
        <f t="shared" si="20"/>
        <v>5538135.859999999</v>
      </c>
      <c r="M201" s="269">
        <f t="shared" si="20"/>
        <v>4599047.84</v>
      </c>
      <c r="N201" s="269">
        <f t="shared" si="20"/>
        <v>4372132.5</v>
      </c>
      <c r="O201" s="269">
        <f t="shared" si="20"/>
        <v>4456351.84</v>
      </c>
      <c r="P201" s="269">
        <f t="shared" si="20"/>
        <v>4630343.39</v>
      </c>
      <c r="Q201" s="269">
        <f t="shared" si="20"/>
        <v>4492559</v>
      </c>
      <c r="R201" s="269">
        <f t="shared" si="20"/>
        <v>4424894</v>
      </c>
      <c r="S201" s="269">
        <f t="shared" si="20"/>
        <v>4367560</v>
      </c>
      <c r="T201" s="269">
        <f t="shared" si="20"/>
        <v>3911160</v>
      </c>
      <c r="U201" s="269">
        <f t="shared" si="20"/>
        <v>3592106.76</v>
      </c>
      <c r="V201" s="269">
        <f t="shared" si="20"/>
        <v>3518387.1100000003</v>
      </c>
      <c r="W201" s="269">
        <f t="shared" si="20"/>
        <v>36976139.150000006</v>
      </c>
      <c r="X201" s="270">
        <f t="shared" si="20"/>
        <v>105548263.98999998</v>
      </c>
    </row>
    <row r="202" spans="1:24" s="172" customFormat="1" ht="13.5" thickBot="1">
      <c r="A202" s="271"/>
      <c r="B202" s="465" t="s">
        <v>573</v>
      </c>
      <c r="C202" s="466"/>
      <c r="D202" s="466"/>
      <c r="E202" s="466"/>
      <c r="F202" s="466"/>
      <c r="G202" s="467"/>
      <c r="H202" s="272">
        <f aca="true" t="shared" si="21" ref="H202:X202">H162+H194</f>
        <v>447312.7200000002</v>
      </c>
      <c r="I202" s="272">
        <f t="shared" si="21"/>
        <v>2413315</v>
      </c>
      <c r="J202" s="272">
        <f t="shared" si="21"/>
        <v>3572185</v>
      </c>
      <c r="K202" s="272">
        <f t="shared" si="21"/>
        <v>1741745</v>
      </c>
      <c r="L202" s="272">
        <f t="shared" si="21"/>
        <v>1637235</v>
      </c>
      <c r="M202" s="272">
        <f t="shared" si="21"/>
        <v>1534860</v>
      </c>
      <c r="N202" s="272">
        <f t="shared" si="21"/>
        <v>1448105</v>
      </c>
      <c r="O202" s="272">
        <f t="shared" si="21"/>
        <v>1363750</v>
      </c>
      <c r="P202" s="272">
        <f t="shared" si="21"/>
        <v>1278645</v>
      </c>
      <c r="Q202" s="272">
        <f t="shared" si="21"/>
        <v>1190420</v>
      </c>
      <c r="R202" s="272">
        <f t="shared" si="21"/>
        <v>1104645</v>
      </c>
      <c r="S202" s="272">
        <f t="shared" si="21"/>
        <v>1014200</v>
      </c>
      <c r="T202" s="272">
        <f t="shared" si="21"/>
        <v>929535</v>
      </c>
      <c r="U202" s="272">
        <f t="shared" si="21"/>
        <v>852950</v>
      </c>
      <c r="V202" s="272">
        <f t="shared" si="21"/>
        <v>784310</v>
      </c>
      <c r="W202" s="272">
        <f t="shared" si="21"/>
        <v>4636385</v>
      </c>
      <c r="X202" s="273">
        <f t="shared" si="21"/>
        <v>25949597.720000003</v>
      </c>
    </row>
    <row r="203" spans="1:24" s="172" customFormat="1" ht="13.5" thickTop="1">
      <c r="A203" s="274"/>
      <c r="B203" s="468" t="s">
        <v>727</v>
      </c>
      <c r="C203" s="469"/>
      <c r="D203" s="469"/>
      <c r="E203" s="469"/>
      <c r="F203" s="469"/>
      <c r="G203" s="470"/>
      <c r="H203" s="275">
        <f aca="true" t="shared" si="22" ref="H203:W203">SUM(H201:H202)</f>
        <v>5546509.93</v>
      </c>
      <c r="I203" s="275">
        <f t="shared" si="22"/>
        <v>7416111.329999999</v>
      </c>
      <c r="J203" s="275">
        <f t="shared" si="22"/>
        <v>8716893.16</v>
      </c>
      <c r="K203" s="275">
        <f t="shared" si="22"/>
        <v>7164489.84</v>
      </c>
      <c r="L203" s="275">
        <f t="shared" si="22"/>
        <v>7175370.859999999</v>
      </c>
      <c r="M203" s="275">
        <f t="shared" si="22"/>
        <v>6133907.84</v>
      </c>
      <c r="N203" s="275">
        <f t="shared" si="22"/>
        <v>5820237.5</v>
      </c>
      <c r="O203" s="275">
        <f t="shared" si="22"/>
        <v>5820101.84</v>
      </c>
      <c r="P203" s="275">
        <f t="shared" si="22"/>
        <v>5908988.39</v>
      </c>
      <c r="Q203" s="275">
        <f t="shared" si="22"/>
        <v>5682979</v>
      </c>
      <c r="R203" s="275">
        <f t="shared" si="22"/>
        <v>5529539</v>
      </c>
      <c r="S203" s="275">
        <f t="shared" si="22"/>
        <v>5381760</v>
      </c>
      <c r="T203" s="275">
        <f t="shared" si="22"/>
        <v>4840695</v>
      </c>
      <c r="U203" s="275">
        <f t="shared" si="22"/>
        <v>4445056.76</v>
      </c>
      <c r="V203" s="275">
        <f t="shared" si="22"/>
        <v>4302697.11</v>
      </c>
      <c r="W203" s="275">
        <f t="shared" si="22"/>
        <v>41612524.150000006</v>
      </c>
      <c r="X203" s="275">
        <f>SUM(X201:X202)</f>
        <v>131497861.70999998</v>
      </c>
    </row>
    <row r="204" spans="1:24" s="172" customFormat="1" ht="12.75">
      <c r="A204" s="276"/>
      <c r="B204" s="454" t="s">
        <v>575</v>
      </c>
      <c r="C204" s="455"/>
      <c r="D204" s="455"/>
      <c r="E204" s="455"/>
      <c r="F204" s="456"/>
      <c r="G204" s="277" t="s">
        <v>576</v>
      </c>
      <c r="H204" s="278">
        <f>SUM(H203/$E$197)</f>
        <v>0.08798703536793291</v>
      </c>
      <c r="I204" s="278">
        <f aca="true" t="shared" si="23" ref="I204:V204">SUM(I203/$E$197)</f>
        <v>0.11764544878138133</v>
      </c>
      <c r="J204" s="278">
        <f t="shared" si="23"/>
        <v>0.13828039550042104</v>
      </c>
      <c r="K204" s="278">
        <f t="shared" si="23"/>
        <v>0.11365385240467352</v>
      </c>
      <c r="L204" s="278">
        <f t="shared" si="23"/>
        <v>0.11382646341658226</v>
      </c>
      <c r="M204" s="278">
        <f t="shared" si="23"/>
        <v>0.09730521947550556</v>
      </c>
      <c r="N204" s="278">
        <f t="shared" si="23"/>
        <v>0.09232931144545331</v>
      </c>
      <c r="O204" s="278">
        <f t="shared" si="23"/>
        <v>0.09232715940365249</v>
      </c>
      <c r="P204" s="278">
        <f t="shared" si="23"/>
        <v>0.09373721079043212</v>
      </c>
      <c r="Q204" s="278">
        <f t="shared" si="23"/>
        <v>0.09015191184706309</v>
      </c>
      <c r="R204" s="278">
        <f t="shared" si="23"/>
        <v>0.08771781709608593</v>
      </c>
      <c r="S204" s="278">
        <f t="shared" si="23"/>
        <v>0.08537352559318805</v>
      </c>
      <c r="T204" s="278">
        <f t="shared" si="23"/>
        <v>0.07679034339534231</v>
      </c>
      <c r="U204" s="278">
        <f t="shared" si="23"/>
        <v>0.0705141379517172</v>
      </c>
      <c r="V204" s="278">
        <f t="shared" si="23"/>
        <v>0.0682558162832087</v>
      </c>
      <c r="W204" s="278"/>
      <c r="X204" s="279"/>
    </row>
    <row r="205" spans="1:24" s="172" customFormat="1" ht="12.75">
      <c r="A205" s="276"/>
      <c r="B205" s="454" t="s">
        <v>577</v>
      </c>
      <c r="C205" s="455"/>
      <c r="D205" s="455"/>
      <c r="E205" s="455"/>
      <c r="F205" s="456"/>
      <c r="G205" s="277" t="s">
        <v>576</v>
      </c>
      <c r="H205" s="280">
        <f>SUM((H203-$H$169-H197)/$E$197)</f>
        <v>0.08632142068897096</v>
      </c>
      <c r="I205" s="280">
        <f>SUM((I203-I169-I197)/$E$197)</f>
        <v>0.11764544878138133</v>
      </c>
      <c r="J205" s="280">
        <f aca="true" t="shared" si="24" ref="J205:V205">SUM((J203-J169-J197)/$E$197)</f>
        <v>0.13828039550042104</v>
      </c>
      <c r="K205" s="280">
        <f t="shared" si="24"/>
        <v>0.11365385240467352</v>
      </c>
      <c r="L205" s="280">
        <f t="shared" si="24"/>
        <v>0.11382646341658226</v>
      </c>
      <c r="M205" s="280">
        <f t="shared" si="24"/>
        <v>0.09730521947550556</v>
      </c>
      <c r="N205" s="280">
        <f t="shared" si="24"/>
        <v>0.09232931144545331</v>
      </c>
      <c r="O205" s="280">
        <f t="shared" si="24"/>
        <v>0.09232715940365249</v>
      </c>
      <c r="P205" s="280">
        <f t="shared" si="24"/>
        <v>0.09373721079043212</v>
      </c>
      <c r="Q205" s="280">
        <f t="shared" si="24"/>
        <v>0.09015191184706309</v>
      </c>
      <c r="R205" s="280">
        <f t="shared" si="24"/>
        <v>0.08771781709608593</v>
      </c>
      <c r="S205" s="280">
        <f t="shared" si="24"/>
        <v>0.08537352559318805</v>
      </c>
      <c r="T205" s="280">
        <f t="shared" si="24"/>
        <v>0.07679034339534231</v>
      </c>
      <c r="U205" s="280">
        <f t="shared" si="24"/>
        <v>0.0705141379517172</v>
      </c>
      <c r="V205" s="280">
        <f t="shared" si="24"/>
        <v>0.0682558162832087</v>
      </c>
      <c r="W205" s="280"/>
      <c r="X205" s="281"/>
    </row>
    <row r="206" spans="1:24" s="172" customFormat="1" ht="15.75">
      <c r="A206" s="168"/>
      <c r="B206" s="265"/>
      <c r="C206" s="244"/>
      <c r="D206" s="244"/>
      <c r="E206" s="244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282"/>
      <c r="S206" s="282"/>
      <c r="T206" s="282"/>
      <c r="U206" s="282"/>
      <c r="V206" s="282"/>
      <c r="W206" s="282"/>
      <c r="X206" s="283"/>
    </row>
    <row r="207" spans="1:24" s="172" customFormat="1" ht="18.75">
      <c r="A207" s="168"/>
      <c r="B207" s="265"/>
      <c r="C207" s="244"/>
      <c r="D207" s="244"/>
      <c r="E207" s="244"/>
      <c r="F207" s="100"/>
      <c r="G207" s="100"/>
      <c r="H207" s="100"/>
      <c r="I207" s="100"/>
      <c r="N207" s="100"/>
      <c r="O207" s="284" t="s">
        <v>150</v>
      </c>
      <c r="P207" s="100"/>
      <c r="Q207" s="100"/>
      <c r="R207" s="100"/>
      <c r="S207" s="100"/>
      <c r="U207" s="282"/>
      <c r="V207" s="285" t="s">
        <v>151</v>
      </c>
      <c r="W207" s="282"/>
      <c r="X207" s="283"/>
    </row>
    <row r="208" spans="1:24" s="172" customFormat="1" ht="12.75">
      <c r="A208" s="168"/>
      <c r="B208" s="265"/>
      <c r="C208" s="244"/>
      <c r="D208" s="244"/>
      <c r="E208" s="244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3"/>
    </row>
    <row r="209" spans="1:24" s="145" customFormat="1" ht="18.75">
      <c r="A209" s="162"/>
      <c r="B209" s="170"/>
      <c r="C209" s="142"/>
      <c r="D209" s="142"/>
      <c r="E209" s="142"/>
      <c r="F209" s="137"/>
      <c r="G209" s="100"/>
      <c r="K209" s="137"/>
      <c r="L209" s="137"/>
      <c r="M209" s="137"/>
      <c r="N209" s="137"/>
      <c r="O209" s="137"/>
      <c r="P209" s="137"/>
      <c r="Q209" s="137"/>
      <c r="S209" s="148"/>
      <c r="T209" s="148"/>
      <c r="U209" s="148"/>
      <c r="V209" s="148"/>
      <c r="W209" s="148"/>
      <c r="X209" s="208"/>
    </row>
    <row r="210" spans="1:24" s="145" customFormat="1" ht="15.75">
      <c r="A210" s="162"/>
      <c r="B210" s="170"/>
      <c r="C210" s="142"/>
      <c r="D210" s="142"/>
      <c r="E210" s="142"/>
      <c r="F210" s="137"/>
      <c r="G210" s="100"/>
      <c r="H210" s="149"/>
      <c r="I210" s="150"/>
      <c r="J210" s="150"/>
      <c r="K210" s="150"/>
      <c r="L210" s="150"/>
      <c r="M210" s="150"/>
      <c r="N210" s="150"/>
      <c r="O210" s="150"/>
      <c r="P210" s="150"/>
      <c r="Q210" s="150"/>
      <c r="R210" s="151"/>
      <c r="S210" s="151"/>
      <c r="T210" s="151"/>
      <c r="U210" s="151"/>
      <c r="V210" s="151"/>
      <c r="W210" s="151"/>
      <c r="X210" s="103"/>
    </row>
    <row r="211" spans="1:24" s="145" customFormat="1" ht="15">
      <c r="A211" s="162"/>
      <c r="B211" s="170"/>
      <c r="C211" s="139"/>
      <c r="D211" s="152"/>
      <c r="E211" s="139"/>
      <c r="F211" s="139"/>
      <c r="G211" s="333"/>
      <c r="H211" s="139"/>
      <c r="I211" s="151"/>
      <c r="J211" s="151"/>
      <c r="K211" s="151"/>
      <c r="L211" s="151"/>
      <c r="M211" s="151"/>
      <c r="N211" s="151"/>
      <c r="O211" s="151"/>
      <c r="P211" s="151"/>
      <c r="Q211" s="151"/>
      <c r="R211" s="137"/>
      <c r="S211" s="137"/>
      <c r="T211" s="137"/>
      <c r="U211" s="137"/>
      <c r="V211" s="137"/>
      <c r="W211" s="137"/>
      <c r="X211" s="103"/>
    </row>
    <row r="212" spans="1:24" s="145" customFormat="1" ht="15">
      <c r="A212" s="162"/>
      <c r="B212" s="171"/>
      <c r="C212" s="139"/>
      <c r="D212" s="152"/>
      <c r="E212" s="139"/>
      <c r="F212" s="139"/>
      <c r="G212" s="333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03"/>
    </row>
    <row r="213" spans="2:7" ht="15">
      <c r="B213" s="171"/>
      <c r="C213" s="139"/>
      <c r="D213" s="152"/>
      <c r="E213" s="139"/>
      <c r="F213" s="139"/>
      <c r="G213" s="333"/>
    </row>
    <row r="214" spans="2:7" ht="15">
      <c r="B214" s="171"/>
      <c r="C214" s="139"/>
      <c r="D214" s="152"/>
      <c r="E214" s="139"/>
      <c r="F214" s="139"/>
      <c r="G214" s="333"/>
    </row>
    <row r="215" spans="3:7" ht="15">
      <c r="C215" s="139"/>
      <c r="D215" s="152"/>
      <c r="E215" s="139"/>
      <c r="F215" s="139"/>
      <c r="G215" s="333"/>
    </row>
    <row r="216" spans="3:7" ht="15">
      <c r="C216" s="139"/>
      <c r="D216" s="152"/>
      <c r="E216" s="139"/>
      <c r="F216" s="139"/>
      <c r="G216" s="333"/>
    </row>
  </sheetData>
  <sheetProtection/>
  <mergeCells count="437">
    <mergeCell ref="B166:D166"/>
    <mergeCell ref="B167:D167"/>
    <mergeCell ref="D159:D160"/>
    <mergeCell ref="F159:F160"/>
    <mergeCell ref="B162:F162"/>
    <mergeCell ref="E159:E160"/>
    <mergeCell ref="B163:F163"/>
    <mergeCell ref="B164:F164"/>
    <mergeCell ref="B165:F165"/>
    <mergeCell ref="E157:E158"/>
    <mergeCell ref="F145:F146"/>
    <mergeCell ref="E147:E148"/>
    <mergeCell ref="E149:E150"/>
    <mergeCell ref="E151:E152"/>
    <mergeCell ref="E153:E154"/>
    <mergeCell ref="E155:E156"/>
    <mergeCell ref="F153:F154"/>
    <mergeCell ref="D147:D148"/>
    <mergeCell ref="F139:F140"/>
    <mergeCell ref="D141:D142"/>
    <mergeCell ref="E141:E142"/>
    <mergeCell ref="F141:F142"/>
    <mergeCell ref="D143:D144"/>
    <mergeCell ref="E143:E144"/>
    <mergeCell ref="F143:F144"/>
    <mergeCell ref="A155:A156"/>
    <mergeCell ref="C155:C156"/>
    <mergeCell ref="A159:A160"/>
    <mergeCell ref="C159:C160"/>
    <mergeCell ref="D139:D140"/>
    <mergeCell ref="E139:E140"/>
    <mergeCell ref="D145:D146"/>
    <mergeCell ref="E145:E146"/>
    <mergeCell ref="A157:A158"/>
    <mergeCell ref="C157:C158"/>
    <mergeCell ref="A149:A150"/>
    <mergeCell ref="C149:C150"/>
    <mergeCell ref="A151:A152"/>
    <mergeCell ref="C151:C152"/>
    <mergeCell ref="A153:A154"/>
    <mergeCell ref="C153:C154"/>
    <mergeCell ref="A143:A144"/>
    <mergeCell ref="C143:C144"/>
    <mergeCell ref="A145:A146"/>
    <mergeCell ref="C145:C146"/>
    <mergeCell ref="A147:A148"/>
    <mergeCell ref="C147:C148"/>
    <mergeCell ref="A131:A132"/>
    <mergeCell ref="C131:C132"/>
    <mergeCell ref="D131:D132"/>
    <mergeCell ref="E131:E132"/>
    <mergeCell ref="F131:F132"/>
    <mergeCell ref="A133:A134"/>
    <mergeCell ref="C133:C134"/>
    <mergeCell ref="D133:D134"/>
    <mergeCell ref="E133:E134"/>
    <mergeCell ref="F133:F134"/>
    <mergeCell ref="A129:A130"/>
    <mergeCell ref="C129:C130"/>
    <mergeCell ref="D129:D130"/>
    <mergeCell ref="E129:E130"/>
    <mergeCell ref="F129:F130"/>
    <mergeCell ref="A137:A138"/>
    <mergeCell ref="C137:C138"/>
    <mergeCell ref="D137:D138"/>
    <mergeCell ref="E137:E138"/>
    <mergeCell ref="F137:F138"/>
    <mergeCell ref="A125:A126"/>
    <mergeCell ref="C125:C126"/>
    <mergeCell ref="D125:D126"/>
    <mergeCell ref="E125:E126"/>
    <mergeCell ref="F125:F126"/>
    <mergeCell ref="A127:A128"/>
    <mergeCell ref="C127:C128"/>
    <mergeCell ref="D127:D128"/>
    <mergeCell ref="E127:E128"/>
    <mergeCell ref="F127:F128"/>
    <mergeCell ref="A4:G4"/>
    <mergeCell ref="A5:A6"/>
    <mergeCell ref="B5:B6"/>
    <mergeCell ref="C5:C6"/>
    <mergeCell ref="A7:A8"/>
    <mergeCell ref="C7:C8"/>
    <mergeCell ref="D7:D8"/>
    <mergeCell ref="E7:E8"/>
    <mergeCell ref="F7:F8"/>
    <mergeCell ref="A9:A10"/>
    <mergeCell ref="C9:C10"/>
    <mergeCell ref="D9:D10"/>
    <mergeCell ref="E9:E10"/>
    <mergeCell ref="F9:F10"/>
    <mergeCell ref="A11:A12"/>
    <mergeCell ref="C11:C12"/>
    <mergeCell ref="D11:D12"/>
    <mergeCell ref="E11:E12"/>
    <mergeCell ref="F11:F12"/>
    <mergeCell ref="A13:A14"/>
    <mergeCell ref="C13:C14"/>
    <mergeCell ref="D13:D14"/>
    <mergeCell ref="E13:E14"/>
    <mergeCell ref="F13:F14"/>
    <mergeCell ref="A15:A16"/>
    <mergeCell ref="C15:C16"/>
    <mergeCell ref="D15:D16"/>
    <mergeCell ref="E15:E16"/>
    <mergeCell ref="F15:F16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F19:F20"/>
    <mergeCell ref="A21:A22"/>
    <mergeCell ref="C21:C22"/>
    <mergeCell ref="D21:D22"/>
    <mergeCell ref="E21:E22"/>
    <mergeCell ref="F21:F22"/>
    <mergeCell ref="A23:A24"/>
    <mergeCell ref="C23:C24"/>
    <mergeCell ref="D23:D24"/>
    <mergeCell ref="E23:E24"/>
    <mergeCell ref="F23:F24"/>
    <mergeCell ref="A25:A26"/>
    <mergeCell ref="C25:C26"/>
    <mergeCell ref="D25:D26"/>
    <mergeCell ref="E25:E26"/>
    <mergeCell ref="F25:F26"/>
    <mergeCell ref="A27:A28"/>
    <mergeCell ref="C27:C28"/>
    <mergeCell ref="D27:D28"/>
    <mergeCell ref="E27:E28"/>
    <mergeCell ref="F27:F28"/>
    <mergeCell ref="A29:A30"/>
    <mergeCell ref="C29:C30"/>
    <mergeCell ref="D29:D30"/>
    <mergeCell ref="E29:E30"/>
    <mergeCell ref="F29:F30"/>
    <mergeCell ref="A31:A32"/>
    <mergeCell ref="C31:C32"/>
    <mergeCell ref="D31:D32"/>
    <mergeCell ref="E31:E32"/>
    <mergeCell ref="F31:F32"/>
    <mergeCell ref="A33:A34"/>
    <mergeCell ref="C33:C34"/>
    <mergeCell ref="D33:D34"/>
    <mergeCell ref="E33:E34"/>
    <mergeCell ref="F33:F34"/>
    <mergeCell ref="A35:A36"/>
    <mergeCell ref="C35:C36"/>
    <mergeCell ref="D35:D36"/>
    <mergeCell ref="E35:E36"/>
    <mergeCell ref="F35:F36"/>
    <mergeCell ref="A37:A38"/>
    <mergeCell ref="C37:C38"/>
    <mergeCell ref="D37:D38"/>
    <mergeCell ref="E37:E38"/>
    <mergeCell ref="F37:F38"/>
    <mergeCell ref="A39:A40"/>
    <mergeCell ref="C39:C40"/>
    <mergeCell ref="D39:D40"/>
    <mergeCell ref="E39:E40"/>
    <mergeCell ref="F39:F40"/>
    <mergeCell ref="A41:A42"/>
    <mergeCell ref="C41:C42"/>
    <mergeCell ref="D41:D42"/>
    <mergeCell ref="E41:E42"/>
    <mergeCell ref="F41:F42"/>
    <mergeCell ref="A43:A44"/>
    <mergeCell ref="C43:C44"/>
    <mergeCell ref="D43:D44"/>
    <mergeCell ref="E43:E44"/>
    <mergeCell ref="F43:F44"/>
    <mergeCell ref="A45:A46"/>
    <mergeCell ref="C45:C46"/>
    <mergeCell ref="D45:D46"/>
    <mergeCell ref="E45:E46"/>
    <mergeCell ref="F45:F46"/>
    <mergeCell ref="A47:A48"/>
    <mergeCell ref="C47:C48"/>
    <mergeCell ref="D47:D48"/>
    <mergeCell ref="E47:E48"/>
    <mergeCell ref="F47:F48"/>
    <mergeCell ref="A49:A50"/>
    <mergeCell ref="C49:C50"/>
    <mergeCell ref="D49:D50"/>
    <mergeCell ref="E49:E50"/>
    <mergeCell ref="F49:F50"/>
    <mergeCell ref="A51:A52"/>
    <mergeCell ref="C51:C52"/>
    <mergeCell ref="D51:D52"/>
    <mergeCell ref="E51:E52"/>
    <mergeCell ref="F51:F52"/>
    <mergeCell ref="A53:A54"/>
    <mergeCell ref="C53:C54"/>
    <mergeCell ref="D53:D54"/>
    <mergeCell ref="E53:E54"/>
    <mergeCell ref="F53:F54"/>
    <mergeCell ref="A55:A56"/>
    <mergeCell ref="C55:C56"/>
    <mergeCell ref="D55:D56"/>
    <mergeCell ref="E55:E56"/>
    <mergeCell ref="F55:F56"/>
    <mergeCell ref="A57:A58"/>
    <mergeCell ref="C57:C58"/>
    <mergeCell ref="D57:D58"/>
    <mergeCell ref="E57:E58"/>
    <mergeCell ref="F57:F58"/>
    <mergeCell ref="A59:A60"/>
    <mergeCell ref="C59:C60"/>
    <mergeCell ref="D59:D60"/>
    <mergeCell ref="E59:E60"/>
    <mergeCell ref="F59:F60"/>
    <mergeCell ref="A61:A62"/>
    <mergeCell ref="C61:C62"/>
    <mergeCell ref="D61:D62"/>
    <mergeCell ref="E61:E62"/>
    <mergeCell ref="F61:F62"/>
    <mergeCell ref="A63:A64"/>
    <mergeCell ref="C63:C64"/>
    <mergeCell ref="D63:D64"/>
    <mergeCell ref="E63:E64"/>
    <mergeCell ref="F63:F64"/>
    <mergeCell ref="A65:A66"/>
    <mergeCell ref="C65:C66"/>
    <mergeCell ref="D65:D66"/>
    <mergeCell ref="E65:E66"/>
    <mergeCell ref="F65:F66"/>
    <mergeCell ref="A67:A68"/>
    <mergeCell ref="C67:C68"/>
    <mergeCell ref="D67:D68"/>
    <mergeCell ref="E67:E68"/>
    <mergeCell ref="F67:F68"/>
    <mergeCell ref="A69:A70"/>
    <mergeCell ref="C69:C70"/>
    <mergeCell ref="D69:D70"/>
    <mergeCell ref="E69:E70"/>
    <mergeCell ref="F69:F70"/>
    <mergeCell ref="A71:A72"/>
    <mergeCell ref="C71:C72"/>
    <mergeCell ref="D71:D72"/>
    <mergeCell ref="E71:E72"/>
    <mergeCell ref="F71:F72"/>
    <mergeCell ref="A73:A74"/>
    <mergeCell ref="C73:C74"/>
    <mergeCell ref="D73:D74"/>
    <mergeCell ref="E73:E74"/>
    <mergeCell ref="F73:F74"/>
    <mergeCell ref="A75:A76"/>
    <mergeCell ref="C75:C76"/>
    <mergeCell ref="D75:D76"/>
    <mergeCell ref="E75:E76"/>
    <mergeCell ref="F75:F76"/>
    <mergeCell ref="A77:A78"/>
    <mergeCell ref="C77:C78"/>
    <mergeCell ref="D77:D78"/>
    <mergeCell ref="E77:E78"/>
    <mergeCell ref="F77:F78"/>
    <mergeCell ref="A79:A80"/>
    <mergeCell ref="C79:C80"/>
    <mergeCell ref="D79:D80"/>
    <mergeCell ref="E79:E80"/>
    <mergeCell ref="F79:F80"/>
    <mergeCell ref="A81:A82"/>
    <mergeCell ref="C81:C82"/>
    <mergeCell ref="D81:D82"/>
    <mergeCell ref="E81:E82"/>
    <mergeCell ref="F81:F82"/>
    <mergeCell ref="A83:A84"/>
    <mergeCell ref="C83:C84"/>
    <mergeCell ref="D83:D84"/>
    <mergeCell ref="E83:E84"/>
    <mergeCell ref="F83:F84"/>
    <mergeCell ref="A85:A86"/>
    <mergeCell ref="C85:C86"/>
    <mergeCell ref="D85:D86"/>
    <mergeCell ref="E85:E86"/>
    <mergeCell ref="F85:F86"/>
    <mergeCell ref="A87:A88"/>
    <mergeCell ref="C87:C88"/>
    <mergeCell ref="D87:D88"/>
    <mergeCell ref="E87:E88"/>
    <mergeCell ref="F87:F88"/>
    <mergeCell ref="A89:A90"/>
    <mergeCell ref="C89:C90"/>
    <mergeCell ref="D89:D90"/>
    <mergeCell ref="E89:E90"/>
    <mergeCell ref="F89:F90"/>
    <mergeCell ref="A91:A92"/>
    <mergeCell ref="C91:C92"/>
    <mergeCell ref="D91:D92"/>
    <mergeCell ref="E91:E92"/>
    <mergeCell ref="F91:F92"/>
    <mergeCell ref="A93:A94"/>
    <mergeCell ref="C93:C94"/>
    <mergeCell ref="D93:D94"/>
    <mergeCell ref="E93:E94"/>
    <mergeCell ref="F93:F94"/>
    <mergeCell ref="A95:A96"/>
    <mergeCell ref="C95:C96"/>
    <mergeCell ref="D95:D96"/>
    <mergeCell ref="E95:E96"/>
    <mergeCell ref="F95:F96"/>
    <mergeCell ref="A97:A98"/>
    <mergeCell ref="C97:C98"/>
    <mergeCell ref="D97:D98"/>
    <mergeCell ref="E97:E98"/>
    <mergeCell ref="F97:F98"/>
    <mergeCell ref="A99:A100"/>
    <mergeCell ref="C99:C100"/>
    <mergeCell ref="D99:D100"/>
    <mergeCell ref="E99:E100"/>
    <mergeCell ref="F99:F100"/>
    <mergeCell ref="A101:A102"/>
    <mergeCell ref="C101:C102"/>
    <mergeCell ref="D101:D102"/>
    <mergeCell ref="E101:E102"/>
    <mergeCell ref="F101:F102"/>
    <mergeCell ref="A103:A104"/>
    <mergeCell ref="C103:C104"/>
    <mergeCell ref="D103:D104"/>
    <mergeCell ref="E103:E104"/>
    <mergeCell ref="F103:F104"/>
    <mergeCell ref="A105:A106"/>
    <mergeCell ref="C105:C106"/>
    <mergeCell ref="D105:D106"/>
    <mergeCell ref="E105:E106"/>
    <mergeCell ref="F105:F106"/>
    <mergeCell ref="A107:A108"/>
    <mergeCell ref="C107:C108"/>
    <mergeCell ref="D107:D108"/>
    <mergeCell ref="E107:E108"/>
    <mergeCell ref="F107:F108"/>
    <mergeCell ref="A109:A110"/>
    <mergeCell ref="C109:C110"/>
    <mergeCell ref="D109:D110"/>
    <mergeCell ref="E109:E110"/>
    <mergeCell ref="F109:F110"/>
    <mergeCell ref="A111:A112"/>
    <mergeCell ref="C111:C112"/>
    <mergeCell ref="D111:D112"/>
    <mergeCell ref="E111:E112"/>
    <mergeCell ref="F111:F112"/>
    <mergeCell ref="A113:A114"/>
    <mergeCell ref="C113:C114"/>
    <mergeCell ref="D113:D114"/>
    <mergeCell ref="E113:E114"/>
    <mergeCell ref="F113:F114"/>
    <mergeCell ref="A115:A116"/>
    <mergeCell ref="C115:C116"/>
    <mergeCell ref="D115:D116"/>
    <mergeCell ref="E115:E116"/>
    <mergeCell ref="F115:F116"/>
    <mergeCell ref="A117:A118"/>
    <mergeCell ref="C117:C118"/>
    <mergeCell ref="D117:D118"/>
    <mergeCell ref="E117:E118"/>
    <mergeCell ref="F117:F118"/>
    <mergeCell ref="A119:A120"/>
    <mergeCell ref="C119:C120"/>
    <mergeCell ref="D119:D120"/>
    <mergeCell ref="E119:E120"/>
    <mergeCell ref="F119:F120"/>
    <mergeCell ref="A121:A122"/>
    <mergeCell ref="C121:C122"/>
    <mergeCell ref="D121:D122"/>
    <mergeCell ref="E121:E122"/>
    <mergeCell ref="F121:F122"/>
    <mergeCell ref="A123:A124"/>
    <mergeCell ref="C123:C124"/>
    <mergeCell ref="D123:D124"/>
    <mergeCell ref="E123:E124"/>
    <mergeCell ref="F123:F124"/>
    <mergeCell ref="A135:A136"/>
    <mergeCell ref="C135:C136"/>
    <mergeCell ref="D135:D136"/>
    <mergeCell ref="E135:E136"/>
    <mergeCell ref="F135:F136"/>
    <mergeCell ref="B161:F161"/>
    <mergeCell ref="A139:A140"/>
    <mergeCell ref="C139:C140"/>
    <mergeCell ref="A141:A142"/>
    <mergeCell ref="C141:C142"/>
    <mergeCell ref="E169:G169"/>
    <mergeCell ref="E170:G170"/>
    <mergeCell ref="E171:G171"/>
    <mergeCell ref="E172:G172"/>
    <mergeCell ref="C174:G174"/>
    <mergeCell ref="C175:G175"/>
    <mergeCell ref="A181:A182"/>
    <mergeCell ref="C181:C182"/>
    <mergeCell ref="E181:E182"/>
    <mergeCell ref="F181:F182"/>
    <mergeCell ref="E178:G178"/>
    <mergeCell ref="A191:A192"/>
    <mergeCell ref="A183:A184"/>
    <mergeCell ref="C183:C184"/>
    <mergeCell ref="E183:E184"/>
    <mergeCell ref="F183:F184"/>
    <mergeCell ref="A185:A186"/>
    <mergeCell ref="C185:C186"/>
    <mergeCell ref="E185:E186"/>
    <mergeCell ref="F185:F186"/>
    <mergeCell ref="C191:C192"/>
    <mergeCell ref="A187:A188"/>
    <mergeCell ref="C187:C188"/>
    <mergeCell ref="E187:E188"/>
    <mergeCell ref="F187:F188"/>
    <mergeCell ref="A189:A190"/>
    <mergeCell ref="C189:C190"/>
    <mergeCell ref="E189:E190"/>
    <mergeCell ref="F189:F190"/>
    <mergeCell ref="B193:F193"/>
    <mergeCell ref="B194:F194"/>
    <mergeCell ref="B204:F204"/>
    <mergeCell ref="E191:E192"/>
    <mergeCell ref="F191:F192"/>
    <mergeCell ref="B205:F205"/>
    <mergeCell ref="B195:F195"/>
    <mergeCell ref="B196:D196"/>
    <mergeCell ref="B197:D197"/>
    <mergeCell ref="B201:G201"/>
    <mergeCell ref="B202:G202"/>
    <mergeCell ref="B203:G203"/>
    <mergeCell ref="D157:D158"/>
    <mergeCell ref="F157:F158"/>
    <mergeCell ref="D155:D156"/>
    <mergeCell ref="F155:F156"/>
    <mergeCell ref="F147:F148"/>
    <mergeCell ref="D149:D150"/>
    <mergeCell ref="F149:F150"/>
    <mergeCell ref="D151:D152"/>
    <mergeCell ref="F151:F152"/>
    <mergeCell ref="D153:D15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7" r:id="rId1"/>
  <headerFooter alignWithMargins="0">
    <oddFooter>&amp;R&amp;P</oddFooter>
  </headerFooter>
  <rowBreaks count="4" manualBreakCount="4">
    <brk id="44" max="255" man="1"/>
    <brk id="88" max="255" man="1"/>
    <brk id="128" max="255" man="1"/>
    <brk id="179" max="255" man="1"/>
  </rowBreaks>
  <colBreaks count="1" manualBreakCount="1">
    <brk id="12" max="20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7.28125" style="0" customWidth="1"/>
    <col min="2" max="2" width="35.28125" style="0" customWidth="1"/>
    <col min="3" max="4" width="13.421875" style="0" customWidth="1"/>
    <col min="5" max="5" width="14.00390625" style="0" customWidth="1"/>
    <col min="6" max="6" width="14.421875" style="0" customWidth="1"/>
  </cols>
  <sheetData>
    <row r="1" spans="1:6" ht="15.75">
      <c r="A1" s="398"/>
      <c r="B1" s="398"/>
      <c r="C1" s="399"/>
      <c r="D1" s="399"/>
      <c r="E1" s="399"/>
      <c r="F1" s="400" t="s">
        <v>967</v>
      </c>
    </row>
    <row r="2" spans="1:6" ht="15.75">
      <c r="A2" s="398"/>
      <c r="B2" s="398"/>
      <c r="C2" s="399"/>
      <c r="D2" s="399"/>
      <c r="E2" s="399"/>
      <c r="F2" s="401" t="s">
        <v>986</v>
      </c>
    </row>
    <row r="3" spans="1:6" ht="15.75">
      <c r="A3" s="398"/>
      <c r="B3" s="398"/>
      <c r="C3" s="399"/>
      <c r="D3" s="399"/>
      <c r="E3" s="100"/>
      <c r="F3" s="401" t="s">
        <v>987</v>
      </c>
    </row>
    <row r="4" spans="1:6" ht="15">
      <c r="A4" s="399"/>
      <c r="B4" s="399"/>
      <c r="C4" s="399"/>
      <c r="D4" s="399"/>
      <c r="E4" s="399"/>
      <c r="F4" s="399"/>
    </row>
    <row r="5" spans="1:6" ht="42" customHeight="1">
      <c r="A5" s="526" t="s">
        <v>968</v>
      </c>
      <c r="B5" s="526"/>
      <c r="C5" s="526"/>
      <c r="D5" s="526"/>
      <c r="E5" s="526"/>
      <c r="F5" s="526"/>
    </row>
    <row r="6" spans="1:6" ht="15">
      <c r="A6" s="402"/>
      <c r="B6" s="402"/>
      <c r="C6" s="402"/>
      <c r="D6" s="402"/>
      <c r="E6" s="402"/>
      <c r="F6" s="403"/>
    </row>
    <row r="7" spans="1:6" ht="47.25">
      <c r="A7" s="404" t="s">
        <v>969</v>
      </c>
      <c r="B7" s="405"/>
      <c r="C7" s="417" t="s">
        <v>678</v>
      </c>
      <c r="D7" s="417" t="s">
        <v>983</v>
      </c>
      <c r="E7" s="417" t="s">
        <v>984</v>
      </c>
      <c r="F7" s="417" t="s">
        <v>985</v>
      </c>
    </row>
    <row r="8" spans="1:6" ht="15.75">
      <c r="A8" s="406" t="s">
        <v>970</v>
      </c>
      <c r="B8" s="407" t="s">
        <v>190</v>
      </c>
      <c r="C8" s="408">
        <f>SUM(C9)</f>
        <v>1373866</v>
      </c>
      <c r="D8" s="408">
        <f>SUM(D9)</f>
        <v>1373866</v>
      </c>
      <c r="E8" s="408">
        <f>SUM(E9)</f>
        <v>1400000</v>
      </c>
      <c r="F8" s="408">
        <f>SUM(F9)</f>
        <v>1400000</v>
      </c>
    </row>
    <row r="9" spans="1:6" ht="31.5">
      <c r="A9" s="409"/>
      <c r="B9" s="410" t="s">
        <v>971</v>
      </c>
      <c r="C9" s="418">
        <v>1373866</v>
      </c>
      <c r="D9" s="418">
        <v>1373866</v>
      </c>
      <c r="E9" s="418">
        <v>1400000</v>
      </c>
      <c r="F9" s="418">
        <v>1400000</v>
      </c>
    </row>
    <row r="10" spans="1:6" ht="15.75">
      <c r="A10" s="411" t="s">
        <v>972</v>
      </c>
      <c r="B10" s="407" t="s">
        <v>973</v>
      </c>
      <c r="C10" s="412">
        <f>SUM(C11:C15)</f>
        <v>1390356</v>
      </c>
      <c r="D10" s="412">
        <f>SUM(D11:D15)</f>
        <v>1390396</v>
      </c>
      <c r="E10" s="412">
        <f>SUM(E11:E15)</f>
        <v>1400000</v>
      </c>
      <c r="F10" s="412">
        <f>SUM(F11:F15)</f>
        <v>1400000</v>
      </c>
    </row>
    <row r="11" spans="1:6" ht="15.75">
      <c r="A11" s="413">
        <v>1</v>
      </c>
      <c r="B11" s="410" t="s">
        <v>974</v>
      </c>
      <c r="C11" s="419">
        <f>208800+29329</f>
        <v>238129</v>
      </c>
      <c r="D11" s="419">
        <v>21549</v>
      </c>
      <c r="E11" s="419">
        <v>230000</v>
      </c>
      <c r="F11" s="419">
        <v>230000</v>
      </c>
    </row>
    <row r="12" spans="1:6" ht="15.75">
      <c r="A12" s="413">
        <v>2</v>
      </c>
      <c r="B12" s="410" t="s">
        <v>975</v>
      </c>
      <c r="C12" s="419">
        <v>65000</v>
      </c>
      <c r="D12" s="419">
        <v>70862</v>
      </c>
      <c r="E12" s="419">
        <v>100000</v>
      </c>
      <c r="F12" s="419">
        <v>100000</v>
      </c>
    </row>
    <row r="13" spans="1:6" ht="31.5">
      <c r="A13" s="413">
        <v>3</v>
      </c>
      <c r="B13" s="410" t="s">
        <v>976</v>
      </c>
      <c r="C13" s="418">
        <v>0</v>
      </c>
      <c r="D13" s="418">
        <v>0</v>
      </c>
      <c r="E13" s="418">
        <v>0</v>
      </c>
      <c r="F13" s="418">
        <v>0</v>
      </c>
    </row>
    <row r="14" spans="1:6" ht="15.75">
      <c r="A14" s="413">
        <v>4</v>
      </c>
      <c r="B14" s="410" t="s">
        <v>977</v>
      </c>
      <c r="C14" s="419">
        <v>1017187</v>
      </c>
      <c r="D14" s="419">
        <v>1227945</v>
      </c>
      <c r="E14" s="419">
        <f>1000000-400</f>
        <v>999600</v>
      </c>
      <c r="F14" s="419">
        <v>999600</v>
      </c>
    </row>
    <row r="15" spans="1:6" ht="15.75">
      <c r="A15" s="413">
        <v>5</v>
      </c>
      <c r="B15" s="410" t="s">
        <v>978</v>
      </c>
      <c r="C15" s="419">
        <v>70040</v>
      </c>
      <c r="D15" s="419">
        <v>70040</v>
      </c>
      <c r="E15" s="419">
        <v>70400</v>
      </c>
      <c r="F15" s="419">
        <v>70400</v>
      </c>
    </row>
    <row r="16" spans="1:6" ht="15.75">
      <c r="A16" s="411" t="s">
        <v>979</v>
      </c>
      <c r="B16" s="407" t="s">
        <v>980</v>
      </c>
      <c r="C16" s="408">
        <f>SUM(C17)</f>
        <v>16490</v>
      </c>
      <c r="D16" s="408">
        <f>SUM(D17)</f>
        <v>16490</v>
      </c>
      <c r="E16" s="408">
        <f>SUM(E17)</f>
        <v>0</v>
      </c>
      <c r="F16" s="408">
        <f>SUM(F17)</f>
        <v>0</v>
      </c>
    </row>
    <row r="17" spans="1:6" ht="15.75">
      <c r="A17" s="409"/>
      <c r="B17" s="414" t="s">
        <v>981</v>
      </c>
      <c r="C17" s="415">
        <v>16490</v>
      </c>
      <c r="D17" s="415">
        <v>16490</v>
      </c>
      <c r="E17" s="415">
        <v>0</v>
      </c>
      <c r="F17" s="415">
        <v>0</v>
      </c>
    </row>
    <row r="18" spans="1:6" ht="15">
      <c r="A18" s="399"/>
      <c r="B18" s="399"/>
      <c r="C18" s="399"/>
      <c r="D18" s="399"/>
      <c r="E18" s="399"/>
      <c r="F18" s="399"/>
    </row>
    <row r="19" spans="1:6" ht="15">
      <c r="A19" s="399"/>
      <c r="B19" s="399"/>
      <c r="C19" s="416"/>
      <c r="D19" s="416"/>
      <c r="E19" s="399"/>
      <c r="F19" s="399"/>
    </row>
    <row r="20" spans="1:6" s="421" customFormat="1" ht="18.75">
      <c r="A20" s="420" t="s">
        <v>150</v>
      </c>
      <c r="B20" s="420"/>
      <c r="C20" s="420"/>
      <c r="D20" s="420"/>
      <c r="E20" s="420"/>
      <c r="F20" s="285" t="s">
        <v>982</v>
      </c>
    </row>
    <row r="21" spans="1:6" ht="15">
      <c r="A21" s="399"/>
      <c r="B21" s="399"/>
      <c r="C21" s="416"/>
      <c r="D21" s="416"/>
      <c r="E21" s="399"/>
      <c r="F21" s="399"/>
    </row>
  </sheetData>
  <sheetProtection/>
  <mergeCells count="1">
    <mergeCell ref="A5:F5"/>
  </mergeCells>
  <printOptions/>
  <pageMargins left="1.1811023622047245" right="0.7874015748031497" top="0.7874015748031497" bottom="0.7874015748031497" header="0.1968503937007874" footer="0.196850393700787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2022-12-16T10:18:54Z</cp:lastPrinted>
  <dcterms:created xsi:type="dcterms:W3CDTF">2021-02-15T14:27:02Z</dcterms:created>
  <dcterms:modified xsi:type="dcterms:W3CDTF">2022-12-21T09:11:06Z</dcterms:modified>
  <cp:category/>
  <cp:version/>
  <cp:contentType/>
  <cp:contentStatus/>
</cp:coreProperties>
</file>