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4335" windowWidth="19440" windowHeight="4800" tabRatio="831" activeTab="7"/>
  </bookViews>
  <sheets>
    <sheet name="1,1" sheetId="26" r:id="rId1"/>
    <sheet name="1,2" sheetId="29" r:id="rId2"/>
    <sheet name="1,3" sheetId="30" r:id="rId3"/>
    <sheet name="1,4" sheetId="31" r:id="rId4"/>
    <sheet name="1,5" sheetId="32" r:id="rId5"/>
    <sheet name="1,6" sheetId="33" r:id="rId6"/>
    <sheet name="1,7" sheetId="34" r:id="rId7"/>
    <sheet name="1,8" sheetId="35" r:id="rId8"/>
    <sheet name="1,9" sheetId="36" r:id="rId9"/>
    <sheet name="1,10" sheetId="37" r:id="rId10"/>
    <sheet name="1,11" sheetId="38" r:id="rId11"/>
    <sheet name="1,12" sheetId="39" r:id="rId12"/>
    <sheet name="1,13" sheetId="40" r:id="rId13"/>
    <sheet name="2,1" sheetId="48" r:id="rId14"/>
    <sheet name="2,2" sheetId="49" r:id="rId15"/>
    <sheet name="2,3" sheetId="50" r:id="rId16"/>
    <sheet name="2,4" sheetId="51" r:id="rId17"/>
    <sheet name="2,5" sheetId="52" r:id="rId18"/>
    <sheet name="2,6" sheetId="53" r:id="rId19"/>
    <sheet name="2,7" sheetId="54" r:id="rId20"/>
    <sheet name="2,8" sheetId="55" r:id="rId21"/>
    <sheet name="2,9" sheetId="56" r:id="rId22"/>
    <sheet name="2,10" sheetId="57" r:id="rId23"/>
    <sheet name="2,11" sheetId="58" r:id="rId24"/>
    <sheet name="3,1" sheetId="68" r:id="rId25"/>
    <sheet name="3,2" sheetId="69" r:id="rId26"/>
    <sheet name="3,3" sheetId="70" r:id="rId27"/>
    <sheet name="3,4" sheetId="71" r:id="rId28"/>
    <sheet name="3,5" sheetId="72" r:id="rId29"/>
    <sheet name="4,1" sheetId="78" r:id="rId30"/>
  </sheets>
  <externalReferences>
    <externalReference r:id="rId31"/>
    <externalReference r:id="rId32"/>
    <externalReference r:id="rId33"/>
  </externalReferences>
  <definedNames>
    <definedName name="A">'[1]2'!$A$1</definedName>
    <definedName name="P" localSheetId="0">#REF!</definedName>
    <definedName name="P" localSheetId="9">#REF!</definedName>
    <definedName name="P" localSheetId="10">#REF!</definedName>
    <definedName name="P" localSheetId="11">#REF!</definedName>
    <definedName name="P" localSheetId="12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13">#REF!</definedName>
    <definedName name="P" localSheetId="22">#REF!</definedName>
    <definedName name="P" localSheetId="23">#REF!</definedName>
    <definedName name="P" localSheetId="14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9">#REF!</definedName>
    <definedName name="P" localSheetId="20">#REF!</definedName>
    <definedName name="P" localSheetId="21">#REF!</definedName>
    <definedName name="P" localSheetId="24">#REF!</definedName>
    <definedName name="P" localSheetId="25">#REF!</definedName>
    <definedName name="P" localSheetId="26">#REF!</definedName>
    <definedName name="P" localSheetId="27">#REF!</definedName>
    <definedName name="P" localSheetId="28">#REF!</definedName>
    <definedName name="P" localSheetId="29">#REF!</definedName>
    <definedName name="P">#REF!</definedName>
    <definedName name="_xlnm.Print_Titles" localSheetId="0">'1,1'!$11:$12</definedName>
    <definedName name="_xlnm.Print_Titles" localSheetId="9">'1,10'!$11:$12</definedName>
    <definedName name="_xlnm.Print_Titles" localSheetId="10">'1,11'!$11:$12</definedName>
    <definedName name="_xlnm.Print_Titles" localSheetId="11">'1,12'!$11:$12</definedName>
    <definedName name="_xlnm.Print_Titles" localSheetId="12">'1,13'!$11:$12</definedName>
    <definedName name="_xlnm.Print_Titles" localSheetId="1">'1,2'!$11:$12</definedName>
    <definedName name="_xlnm.Print_Titles" localSheetId="2">'1,3'!$11:$12</definedName>
    <definedName name="_xlnm.Print_Titles" localSheetId="3">'1,4'!$11:$12</definedName>
    <definedName name="_xlnm.Print_Titles" localSheetId="4">'1,5'!$11:$12</definedName>
    <definedName name="_xlnm.Print_Titles" localSheetId="5">'1,6'!$11:$12</definedName>
    <definedName name="_xlnm.Print_Titles" localSheetId="6">'1,7'!$11:$12</definedName>
    <definedName name="_xlnm.Print_Titles" localSheetId="7">'1,8'!$11:$12</definedName>
    <definedName name="_xlnm.Print_Titles" localSheetId="8">'1,9'!$11:$12</definedName>
    <definedName name="_xlnm.Print_Titles" localSheetId="13">'2,1'!$11:$12</definedName>
    <definedName name="_xlnm.Print_Titles" localSheetId="22">'2,10'!$11:$12</definedName>
    <definedName name="_xlnm.Print_Titles" localSheetId="23">'2,11'!$11:$12</definedName>
    <definedName name="_xlnm.Print_Titles" localSheetId="14">'2,2'!$11:$12</definedName>
    <definedName name="_xlnm.Print_Titles" localSheetId="15">'2,3'!$11:$12</definedName>
    <definedName name="_xlnm.Print_Titles" localSheetId="16">'2,4'!$11:$12</definedName>
    <definedName name="_xlnm.Print_Titles" localSheetId="17">'2,5'!$11:$12</definedName>
    <definedName name="_xlnm.Print_Titles" localSheetId="18">'2,6'!$11:$12</definedName>
    <definedName name="_xlnm.Print_Titles" localSheetId="19">'2,7'!$11:$12</definedName>
    <definedName name="_xlnm.Print_Titles" localSheetId="20">'2,8'!$11:$12</definedName>
    <definedName name="_xlnm.Print_Titles" localSheetId="21">'2,9'!$11:$12</definedName>
    <definedName name="_xlnm.Print_Titles" localSheetId="24">'3,1'!$11:$12</definedName>
    <definedName name="_xlnm.Print_Titles" localSheetId="25">'3,2'!$11:$12</definedName>
    <definedName name="_xlnm.Print_Titles" localSheetId="26">'3,3'!$11:$12</definedName>
    <definedName name="_xlnm.Print_Titles" localSheetId="27">'3,4'!$11:$12</definedName>
    <definedName name="_xlnm.Print_Titles" localSheetId="28">'3,5'!$11:$12</definedName>
    <definedName name="_xlnm.Print_Titles" localSheetId="29">'4,1'!$11:$12</definedName>
  </definedNames>
  <calcPr calcId="145621" concurrentCalc="0"/>
</workbook>
</file>

<file path=xl/calcChain.xml><?xml version="1.0" encoding="utf-8"?>
<calcChain xmlns="http://schemas.openxmlformats.org/spreadsheetml/2006/main">
  <c r="E37" i="35" l="1"/>
  <c r="E38" i="35"/>
  <c r="E44" i="35"/>
  <c r="E42" i="35"/>
  <c r="E39" i="35"/>
  <c r="E48" i="35"/>
  <c r="E46" i="35"/>
  <c r="E45" i="35"/>
  <c r="E43" i="35"/>
  <c r="E41" i="35"/>
  <c r="E40" i="35"/>
  <c r="E59" i="35"/>
  <c r="E60" i="35"/>
  <c r="E61" i="35"/>
  <c r="E57" i="35"/>
  <c r="E75" i="32"/>
  <c r="E74" i="32"/>
  <c r="E76" i="32"/>
  <c r="E38" i="31"/>
  <c r="E17" i="36"/>
  <c r="E15" i="36"/>
  <c r="E18" i="36"/>
  <c r="E41" i="38"/>
  <c r="E40" i="38"/>
  <c r="E110" i="32"/>
  <c r="E109" i="32"/>
  <c r="E98" i="32"/>
  <c r="E97" i="32"/>
  <c r="E94" i="32"/>
  <c r="E93" i="32"/>
  <c r="E89" i="32"/>
  <c r="E90" i="32"/>
  <c r="E40" i="37"/>
  <c r="E32" i="35"/>
  <c r="E15" i="35"/>
  <c r="E19" i="35"/>
  <c r="E56" i="34"/>
  <c r="E55" i="34"/>
  <c r="E53" i="34"/>
  <c r="E50" i="34"/>
  <c r="E49" i="34"/>
  <c r="E46" i="34"/>
  <c r="E32" i="34"/>
  <c r="E31" i="34"/>
  <c r="E32" i="38"/>
  <c r="E38" i="38"/>
  <c r="E35" i="38"/>
  <c r="E30" i="38"/>
  <c r="E29" i="38"/>
  <c r="E28" i="38"/>
  <c r="E62" i="35"/>
  <c r="E63" i="35"/>
  <c r="E67" i="35"/>
  <c r="E68" i="35"/>
  <c r="E16" i="36"/>
  <c r="A34" i="49"/>
  <c r="A35" i="49"/>
  <c r="A36" i="49"/>
  <c r="A37" i="49"/>
  <c r="A38" i="49"/>
  <c r="A39" i="49"/>
  <c r="A40" i="49"/>
  <c r="A79" i="48"/>
  <c r="A80" i="48"/>
  <c r="A81" i="48"/>
  <c r="A82" i="48"/>
  <c r="A83" i="48"/>
  <c r="A84" i="48"/>
  <c r="A75" i="48"/>
  <c r="A76" i="48"/>
  <c r="A58" i="48"/>
  <c r="A59" i="48"/>
  <c r="A60" i="48"/>
  <c r="A61" i="48"/>
  <c r="A63" i="48"/>
  <c r="A64" i="48"/>
  <c r="A65" i="48"/>
  <c r="A66" i="48"/>
  <c r="A67" i="48"/>
  <c r="A68" i="48"/>
  <c r="A69" i="48"/>
  <c r="A70" i="48"/>
  <c r="A71" i="48"/>
  <c r="A49" i="48"/>
  <c r="A50" i="48"/>
  <c r="A51" i="48"/>
  <c r="A52" i="48"/>
  <c r="A53" i="48"/>
  <c r="A54" i="48"/>
  <c r="A55" i="48"/>
  <c r="A41" i="48"/>
  <c r="A42" i="48"/>
  <c r="A43" i="48"/>
  <c r="A44" i="48"/>
  <c r="A45" i="48"/>
  <c r="A4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E20" i="36"/>
  <c r="E24" i="36"/>
  <c r="E26" i="36"/>
  <c r="E32" i="36"/>
  <c r="E55" i="36"/>
  <c r="E93" i="38"/>
  <c r="E92" i="38"/>
  <c r="E91" i="38"/>
  <c r="E89" i="38"/>
  <c r="E87" i="38"/>
  <c r="E85" i="38"/>
  <c r="E83" i="38"/>
  <c r="E81" i="38"/>
  <c r="E79" i="38"/>
  <c r="E78" i="38"/>
  <c r="E77" i="38"/>
  <c r="E75" i="38"/>
  <c r="E74" i="38"/>
  <c r="E73" i="38"/>
  <c r="E72" i="38"/>
  <c r="E70" i="38"/>
  <c r="E69" i="38"/>
  <c r="E68" i="38"/>
  <c r="E66" i="38"/>
  <c r="E65" i="38"/>
  <c r="E64" i="38"/>
  <c r="E62" i="38"/>
  <c r="E61" i="38"/>
  <c r="E57" i="38"/>
  <c r="E59" i="38"/>
  <c r="E55" i="38"/>
  <c r="E53" i="38"/>
  <c r="E51" i="38"/>
  <c r="E50" i="38"/>
  <c r="E49" i="38"/>
  <c r="E47" i="38"/>
  <c r="E46" i="38"/>
  <c r="E45" i="38"/>
  <c r="E44" i="38"/>
  <c r="E42" i="38"/>
  <c r="E37" i="38"/>
  <c r="E34" i="38"/>
  <c r="E31" i="38"/>
  <c r="E27" i="38"/>
  <c r="E26" i="38"/>
  <c r="E25" i="38"/>
  <c r="E23" i="38"/>
  <c r="E22" i="38"/>
  <c r="E18" i="38"/>
  <c r="E20" i="38"/>
  <c r="E17" i="38"/>
  <c r="E16" i="38"/>
  <c r="C13" i="38"/>
  <c r="E69" i="36"/>
  <c r="E68" i="36"/>
  <c r="E66" i="36"/>
  <c r="E65" i="36"/>
  <c r="E64" i="36"/>
  <c r="E62" i="36"/>
  <c r="E61" i="36"/>
  <c r="E60" i="36"/>
  <c r="E58" i="36"/>
  <c r="B55" i="36"/>
  <c r="E47" i="36"/>
  <c r="E46" i="36"/>
  <c r="E45" i="36"/>
  <c r="E43" i="36"/>
  <c r="E40" i="36"/>
  <c r="E38" i="36"/>
  <c r="E36" i="36"/>
  <c r="E33" i="36"/>
  <c r="E22" i="36"/>
  <c r="E23" i="36"/>
  <c r="E21" i="36"/>
  <c r="C13" i="36"/>
  <c r="E79" i="35"/>
  <c r="E77" i="35"/>
  <c r="E76" i="35"/>
  <c r="E74" i="35"/>
  <c r="E73" i="35"/>
  <c r="E71" i="35"/>
  <c r="E69" i="35"/>
  <c r="E65" i="35"/>
  <c r="E66" i="35"/>
  <c r="E64" i="35"/>
  <c r="E54" i="35"/>
  <c r="E53" i="35"/>
  <c r="E50" i="35"/>
  <c r="E34" i="35"/>
  <c r="E30" i="35"/>
  <c r="E29" i="35"/>
  <c r="E28" i="35"/>
  <c r="E24" i="35"/>
  <c r="E22" i="35"/>
  <c r="E18" i="35"/>
  <c r="E17" i="35"/>
  <c r="E16" i="35"/>
  <c r="C13" i="35"/>
  <c r="E63" i="34"/>
  <c r="E61" i="34"/>
  <c r="E60" i="34"/>
  <c r="E59" i="34"/>
  <c r="E41" i="34"/>
  <c r="E35" i="34"/>
  <c r="E28" i="34"/>
  <c r="E27" i="34"/>
  <c r="E25" i="34"/>
  <c r="E24" i="34"/>
  <c r="E21" i="34"/>
  <c r="E19" i="34"/>
  <c r="E18" i="34"/>
  <c r="E16" i="34"/>
  <c r="C13" i="34"/>
  <c r="A2" i="34"/>
  <c r="E25" i="33"/>
  <c r="E24" i="33"/>
  <c r="E21" i="33"/>
  <c r="E20" i="33"/>
  <c r="E18" i="33"/>
  <c r="E17" i="33"/>
  <c r="C13" i="33"/>
  <c r="A2" i="33"/>
  <c r="E113" i="32"/>
  <c r="E111" i="32"/>
  <c r="E107" i="32"/>
  <c r="E106" i="32"/>
  <c r="E105" i="32"/>
  <c r="E104" i="32"/>
  <c r="E103" i="32"/>
  <c r="E101" i="32"/>
  <c r="E99" i="32"/>
  <c r="E95" i="32"/>
  <c r="E91" i="32"/>
  <c r="E87" i="32"/>
  <c r="E85" i="32"/>
  <c r="E84" i="32"/>
  <c r="E83" i="32"/>
  <c r="E82" i="32"/>
  <c r="E81" i="32"/>
  <c r="E71" i="32"/>
  <c r="E72" i="32"/>
  <c r="E70" i="32"/>
  <c r="E69" i="32"/>
  <c r="E65" i="32"/>
  <c r="E67" i="32"/>
  <c r="E64" i="32"/>
  <c r="E63" i="32"/>
  <c r="E60" i="32"/>
  <c r="E59" i="32"/>
  <c r="E61" i="32"/>
  <c r="E57" i="32"/>
  <c r="E58" i="32"/>
  <c r="E55" i="32"/>
  <c r="E54" i="32"/>
  <c r="E50" i="32"/>
  <c r="E49" i="32"/>
  <c r="E46" i="32"/>
  <c r="E45" i="32"/>
  <c r="E34" i="32"/>
  <c r="E33" i="32"/>
  <c r="E31" i="32"/>
  <c r="E30" i="32"/>
  <c r="E29" i="32"/>
  <c r="E26" i="32"/>
  <c r="E23" i="32"/>
  <c r="E22" i="32"/>
  <c r="E21" i="32"/>
  <c r="E20" i="32"/>
  <c r="E19" i="32"/>
  <c r="E18" i="32"/>
  <c r="E17" i="32"/>
  <c r="E16" i="32"/>
  <c r="C13" i="32"/>
  <c r="A2" i="32"/>
  <c r="E39" i="31"/>
  <c r="E37" i="31"/>
  <c r="E34" i="31"/>
  <c r="E33" i="31"/>
  <c r="E31" i="31"/>
  <c r="E30" i="31"/>
  <c r="E27" i="31"/>
  <c r="E26" i="31"/>
  <c r="E25" i="31"/>
  <c r="E22" i="31"/>
  <c r="E21" i="31"/>
  <c r="E19" i="31"/>
  <c r="C13" i="31"/>
  <c r="A2" i="31"/>
  <c r="C13" i="30"/>
  <c r="C13" i="29"/>
  <c r="A2" i="29"/>
  <c r="C13" i="26"/>
  <c r="A2" i="26"/>
  <c r="C13" i="72"/>
  <c r="A2" i="72"/>
  <c r="E56" i="71"/>
  <c r="B53" i="71"/>
  <c r="E42" i="71"/>
  <c r="A2" i="71"/>
  <c r="E70" i="69"/>
  <c r="E69" i="69"/>
  <c r="E66" i="69"/>
  <c r="E65" i="69"/>
  <c r="E64" i="69"/>
  <c r="E63" i="69"/>
  <c r="E23" i="69"/>
  <c r="E21" i="69"/>
  <c r="C13" i="69"/>
  <c r="C13" i="68"/>
  <c r="A2" i="68"/>
  <c r="C13" i="57"/>
  <c r="A2" i="57"/>
  <c r="C13" i="56"/>
  <c r="C13" i="55"/>
  <c r="A2" i="55"/>
  <c r="C13" i="54"/>
  <c r="C13" i="53"/>
  <c r="A2" i="53"/>
  <c r="C13" i="52"/>
  <c r="C13" i="51"/>
  <c r="C13" i="50"/>
  <c r="A2" i="50"/>
  <c r="C13" i="49"/>
  <c r="A2" i="49"/>
  <c r="C13" i="48"/>
  <c r="C13" i="40"/>
  <c r="A2" i="40"/>
  <c r="E44" i="39"/>
  <c r="E42" i="39"/>
  <c r="E40" i="39"/>
  <c r="E38" i="39"/>
  <c r="E36" i="39"/>
  <c r="E35" i="39"/>
  <c r="E33" i="39"/>
  <c r="E30" i="39"/>
  <c r="E28" i="39"/>
  <c r="E25" i="39"/>
  <c r="E22" i="39"/>
  <c r="E20" i="39"/>
  <c r="E18" i="39"/>
  <c r="E15" i="39"/>
  <c r="C13" i="39"/>
  <c r="A2" i="39"/>
  <c r="E57" i="37"/>
  <c r="E53" i="37"/>
  <c r="E49" i="37"/>
  <c r="E39" i="37"/>
  <c r="E32" i="37"/>
  <c r="E31" i="37"/>
  <c r="E29" i="37"/>
  <c r="E28" i="37"/>
  <c r="E26" i="37"/>
  <c r="E23" i="37"/>
  <c r="C13" i="37"/>
  <c r="A2" i="37"/>
  <c r="E27" i="36"/>
  <c r="E29" i="36"/>
  <c r="E19" i="38"/>
  <c r="E58" i="38"/>
  <c r="E25" i="36"/>
  <c r="E66" i="32"/>
  <c r="E41" i="78"/>
  <c r="E20" i="78"/>
  <c r="E44" i="78"/>
  <c r="E50" i="78"/>
  <c r="E31" i="78"/>
  <c r="E30" i="78"/>
  <c r="E27" i="78"/>
  <c r="E26" i="78"/>
  <c r="E25" i="78"/>
  <c r="E21" i="78"/>
  <c r="C13" i="78"/>
  <c r="A61" i="78"/>
  <c r="A110" i="72"/>
  <c r="A101" i="71"/>
  <c r="A94" i="70"/>
  <c r="A76" i="69"/>
  <c r="A49" i="68"/>
  <c r="A20" i="58"/>
  <c r="A41" i="57"/>
  <c r="A80" i="56"/>
  <c r="A42" i="55"/>
  <c r="A60" i="54"/>
  <c r="A141" i="53"/>
  <c r="A76" i="52"/>
  <c r="A74" i="51"/>
  <c r="A71" i="50"/>
  <c r="A47" i="49"/>
  <c r="A91" i="48"/>
  <c r="A21" i="40"/>
  <c r="A50" i="39"/>
  <c r="A99" i="38"/>
  <c r="A64" i="37"/>
  <c r="A75" i="36"/>
  <c r="A91" i="35"/>
  <c r="A69" i="34"/>
  <c r="A33" i="33"/>
  <c r="A119" i="32"/>
  <c r="A45" i="31"/>
  <c r="A24" i="30"/>
  <c r="A73" i="29"/>
  <c r="C4" i="30"/>
  <c r="C4" i="31"/>
  <c r="C4" i="32"/>
  <c r="C4" i="33"/>
  <c r="C4" i="34"/>
  <c r="C4" i="35"/>
  <c r="C4" i="36"/>
  <c r="C4" i="37"/>
  <c r="C4" i="38"/>
  <c r="C4" i="39"/>
  <c r="C4" i="40"/>
  <c r="C4" i="29"/>
  <c r="C3" i="30"/>
  <c r="C3" i="31"/>
  <c r="C3" i="32"/>
  <c r="C3" i="33"/>
  <c r="C3" i="34"/>
  <c r="C3" i="35"/>
  <c r="C3" i="36"/>
  <c r="C3" i="37"/>
  <c r="C3" i="38"/>
  <c r="C3" i="39"/>
  <c r="C3" i="40"/>
  <c r="C3" i="29"/>
  <c r="C70" i="78"/>
  <c r="C69" i="78"/>
  <c r="B68" i="78"/>
  <c r="C65" i="78"/>
  <c r="C64" i="78"/>
  <c r="B63" i="78"/>
  <c r="A60" i="78"/>
  <c r="B59" i="78"/>
  <c r="C119" i="72"/>
  <c r="C118" i="72"/>
  <c r="B117" i="72"/>
  <c r="C114" i="72"/>
  <c r="C113" i="72"/>
  <c r="B112" i="72"/>
  <c r="A109" i="72"/>
  <c r="B108" i="72"/>
  <c r="C110" i="71"/>
  <c r="C109" i="71"/>
  <c r="B108" i="71"/>
  <c r="C105" i="71"/>
  <c r="C104" i="71"/>
  <c r="B103" i="71"/>
  <c r="A100" i="71"/>
  <c r="B99" i="71"/>
  <c r="C103" i="70"/>
  <c r="C102" i="70"/>
  <c r="B101" i="70"/>
  <c r="C98" i="70"/>
  <c r="C97" i="70"/>
  <c r="B96" i="70"/>
  <c r="A93" i="70"/>
  <c r="B92" i="70"/>
  <c r="C85" i="69"/>
  <c r="C84" i="69"/>
  <c r="B83" i="69"/>
  <c r="C80" i="69"/>
  <c r="C79" i="69"/>
  <c r="B78" i="69"/>
  <c r="A75" i="69"/>
  <c r="B74" i="69"/>
  <c r="C58" i="68"/>
  <c r="C57" i="68"/>
  <c r="B56" i="68"/>
  <c r="C53" i="68"/>
  <c r="C52" i="68"/>
  <c r="B51" i="68"/>
  <c r="A48" i="68"/>
  <c r="B47" i="68"/>
  <c r="C29" i="58"/>
  <c r="C28" i="58"/>
  <c r="B27" i="58"/>
  <c r="C24" i="58"/>
  <c r="C23" i="58"/>
  <c r="B22" i="58"/>
  <c r="A19" i="58"/>
  <c r="B18" i="58"/>
  <c r="C50" i="57"/>
  <c r="C49" i="57"/>
  <c r="B48" i="57"/>
  <c r="C45" i="57"/>
  <c r="C44" i="57"/>
  <c r="B43" i="57"/>
  <c r="A40" i="57"/>
  <c r="B39" i="57"/>
  <c r="C89" i="56"/>
  <c r="C88" i="56"/>
  <c r="B87" i="56"/>
  <c r="C84" i="56"/>
  <c r="C83" i="56"/>
  <c r="B82" i="56"/>
  <c r="A79" i="56"/>
  <c r="B78" i="56"/>
  <c r="C51" i="55"/>
  <c r="C50" i="55"/>
  <c r="B49" i="55"/>
  <c r="C46" i="55"/>
  <c r="C45" i="55"/>
  <c r="B44" i="55"/>
  <c r="A41" i="55"/>
  <c r="B40" i="55"/>
  <c r="C69" i="54"/>
  <c r="C68" i="54"/>
  <c r="B67" i="54"/>
  <c r="C64" i="54"/>
  <c r="C63" i="54"/>
  <c r="B62" i="54"/>
  <c r="A59" i="54"/>
  <c r="B58" i="54"/>
  <c r="C150" i="53"/>
  <c r="C149" i="53"/>
  <c r="B148" i="53"/>
  <c r="C145" i="53"/>
  <c r="C144" i="53"/>
  <c r="B143" i="53"/>
  <c r="A140" i="53"/>
  <c r="B139" i="53"/>
  <c r="C85" i="52"/>
  <c r="C84" i="52"/>
  <c r="B83" i="52"/>
  <c r="C80" i="52"/>
  <c r="C79" i="52"/>
  <c r="B78" i="52"/>
  <c r="A75" i="52"/>
  <c r="B74" i="52"/>
  <c r="C83" i="51"/>
  <c r="C82" i="51"/>
  <c r="B81" i="51"/>
  <c r="C78" i="51"/>
  <c r="C77" i="51"/>
  <c r="B76" i="51"/>
  <c r="A73" i="51"/>
  <c r="B72" i="51"/>
  <c r="C80" i="50"/>
  <c r="C79" i="50"/>
  <c r="B78" i="50"/>
  <c r="C75" i="50"/>
  <c r="C74" i="50"/>
  <c r="B73" i="50"/>
  <c r="A70" i="50"/>
  <c r="B69" i="50"/>
  <c r="C56" i="49"/>
  <c r="C55" i="49"/>
  <c r="B54" i="49"/>
  <c r="C51" i="49"/>
  <c r="C50" i="49"/>
  <c r="B49" i="49"/>
  <c r="A46" i="49"/>
  <c r="B45" i="49"/>
  <c r="C100" i="48"/>
  <c r="C99" i="48"/>
  <c r="B98" i="48"/>
  <c r="C95" i="48"/>
  <c r="C94" i="48"/>
  <c r="B93" i="48"/>
  <c r="A90" i="48"/>
  <c r="B89" i="48"/>
  <c r="C30" i="40"/>
  <c r="C29" i="40"/>
  <c r="B28" i="40"/>
  <c r="C25" i="40"/>
  <c r="C24" i="40"/>
  <c r="B23" i="40"/>
  <c r="A20" i="40"/>
  <c r="B19" i="40"/>
  <c r="C59" i="39"/>
  <c r="C58" i="39"/>
  <c r="B57" i="39"/>
  <c r="C54" i="39"/>
  <c r="C53" i="39"/>
  <c r="B52" i="39"/>
  <c r="A49" i="39"/>
  <c r="B48" i="39"/>
  <c r="C108" i="38"/>
  <c r="C107" i="38"/>
  <c r="B106" i="38"/>
  <c r="C103" i="38"/>
  <c r="C102" i="38"/>
  <c r="B101" i="38"/>
  <c r="A98" i="38"/>
  <c r="B97" i="38"/>
  <c r="C73" i="37"/>
  <c r="C72" i="37"/>
  <c r="B71" i="37"/>
  <c r="C68" i="37"/>
  <c r="C67" i="37"/>
  <c r="B66" i="37"/>
  <c r="A63" i="37"/>
  <c r="B62" i="37"/>
  <c r="C84" i="36"/>
  <c r="C83" i="36"/>
  <c r="B82" i="36"/>
  <c r="C79" i="36"/>
  <c r="C78" i="36"/>
  <c r="B77" i="36"/>
  <c r="A74" i="36"/>
  <c r="B73" i="36"/>
  <c r="C100" i="35"/>
  <c r="C99" i="35"/>
  <c r="B98" i="35"/>
  <c r="C95" i="35"/>
  <c r="C94" i="35"/>
  <c r="B93" i="35"/>
  <c r="A90" i="35"/>
  <c r="B89" i="35"/>
  <c r="C78" i="34"/>
  <c r="C77" i="34"/>
  <c r="B76" i="34"/>
  <c r="C73" i="34"/>
  <c r="C72" i="34"/>
  <c r="B71" i="34"/>
  <c r="A68" i="34"/>
  <c r="B67" i="34"/>
  <c r="C42" i="33"/>
  <c r="C41" i="33"/>
  <c r="B40" i="33"/>
  <c r="C37" i="33"/>
  <c r="C36" i="33"/>
  <c r="B35" i="33"/>
  <c r="A32" i="33"/>
  <c r="B31" i="33"/>
  <c r="C128" i="32"/>
  <c r="C127" i="32"/>
  <c r="B126" i="32"/>
  <c r="C123" i="32"/>
  <c r="C122" i="32"/>
  <c r="B121" i="32"/>
  <c r="A118" i="32"/>
  <c r="B117" i="32"/>
  <c r="C54" i="31"/>
  <c r="C53" i="31"/>
  <c r="B52" i="31"/>
  <c r="C49" i="31"/>
  <c r="C48" i="31"/>
  <c r="B47" i="31"/>
  <c r="A44" i="31"/>
  <c r="B43" i="31"/>
  <c r="C33" i="30"/>
  <c r="C32" i="30"/>
  <c r="B31" i="30"/>
  <c r="C28" i="30"/>
  <c r="C27" i="30"/>
  <c r="B26" i="30"/>
  <c r="A23" i="30"/>
  <c r="B22" i="30"/>
  <c r="C82" i="29"/>
  <c r="C81" i="29"/>
  <c r="C77" i="29"/>
  <c r="C76" i="29"/>
  <c r="B75" i="29"/>
  <c r="B71" i="29"/>
  <c r="A72" i="29"/>
  <c r="C9" i="78"/>
  <c r="A7" i="78"/>
  <c r="C6" i="78"/>
  <c r="C5" i="78"/>
  <c r="C4" i="78"/>
  <c r="C3" i="78"/>
  <c r="A2" i="78"/>
  <c r="C9" i="72"/>
  <c r="A7" i="72"/>
  <c r="C6" i="72"/>
  <c r="C5" i="72"/>
  <c r="C4" i="72"/>
  <c r="C3" i="72"/>
  <c r="C9" i="71"/>
  <c r="A7" i="71"/>
  <c r="C6" i="71"/>
  <c r="C5" i="71"/>
  <c r="C4" i="71"/>
  <c r="C3" i="71"/>
  <c r="C9" i="70"/>
  <c r="A7" i="70"/>
  <c r="C6" i="70"/>
  <c r="C5" i="70"/>
  <c r="C4" i="70"/>
  <c r="C3" i="70"/>
  <c r="A2" i="70"/>
  <c r="C9" i="69"/>
  <c r="A7" i="69"/>
  <c r="C6" i="69"/>
  <c r="C5" i="69"/>
  <c r="C4" i="69"/>
  <c r="C3" i="69"/>
  <c r="A2" i="69"/>
  <c r="C9" i="68"/>
  <c r="A7" i="68"/>
  <c r="C6" i="68"/>
  <c r="C5" i="68"/>
  <c r="C4" i="68"/>
  <c r="C3" i="68"/>
  <c r="C9" i="58"/>
  <c r="A7" i="58"/>
  <c r="C6" i="58"/>
  <c r="C5" i="58"/>
  <c r="C4" i="58"/>
  <c r="C3" i="58"/>
  <c r="A2" i="58"/>
  <c r="C9" i="57"/>
  <c r="A7" i="57"/>
  <c r="C6" i="57"/>
  <c r="C5" i="57"/>
  <c r="C4" i="57"/>
  <c r="C3" i="57"/>
  <c r="C9" i="56"/>
  <c r="A7" i="56"/>
  <c r="C6" i="56"/>
  <c r="C5" i="56"/>
  <c r="C4" i="56"/>
  <c r="C3" i="56"/>
  <c r="A2" i="56"/>
  <c r="C9" i="55"/>
  <c r="A7" i="55"/>
  <c r="C6" i="55"/>
  <c r="C5" i="55"/>
  <c r="C4" i="55"/>
  <c r="C3" i="55"/>
  <c r="C9" i="54"/>
  <c r="A7" i="54"/>
  <c r="C6" i="54"/>
  <c r="C5" i="54"/>
  <c r="C4" i="54"/>
  <c r="C3" i="54"/>
  <c r="A2" i="54"/>
  <c r="C9" i="53"/>
  <c r="A7" i="53"/>
  <c r="C6" i="53"/>
  <c r="C5" i="53"/>
  <c r="C4" i="53"/>
  <c r="C3" i="53"/>
  <c r="C9" i="52"/>
  <c r="A7" i="52"/>
  <c r="C6" i="52"/>
  <c r="C5" i="52"/>
  <c r="C4" i="52"/>
  <c r="C3" i="52"/>
  <c r="A2" i="52"/>
  <c r="C9" i="51"/>
  <c r="A7" i="51"/>
  <c r="C6" i="51"/>
  <c r="C5" i="51"/>
  <c r="C4" i="51"/>
  <c r="C3" i="51"/>
  <c r="A2" i="51"/>
  <c r="C9" i="50"/>
  <c r="A7" i="50"/>
  <c r="C6" i="50"/>
  <c r="C5" i="50"/>
  <c r="C4" i="50"/>
  <c r="C3" i="50"/>
  <c r="C9" i="49"/>
  <c r="A7" i="49"/>
  <c r="C6" i="49"/>
  <c r="C5" i="49"/>
  <c r="C4" i="49"/>
  <c r="C3" i="49"/>
  <c r="C9" i="48"/>
  <c r="A7" i="48"/>
  <c r="C6" i="48"/>
  <c r="C5" i="48"/>
  <c r="C4" i="48"/>
  <c r="C3" i="48"/>
  <c r="A2" i="48"/>
  <c r="B80" i="29"/>
  <c r="C9" i="40"/>
  <c r="A7" i="40"/>
  <c r="C6" i="40"/>
  <c r="C5" i="40"/>
  <c r="C9" i="39"/>
  <c r="A7" i="39"/>
  <c r="C6" i="39"/>
  <c r="C5" i="39"/>
  <c r="C9" i="38"/>
  <c r="A7" i="38"/>
  <c r="C6" i="38"/>
  <c r="C5" i="38"/>
  <c r="A2" i="38"/>
  <c r="C9" i="37"/>
  <c r="A7" i="37"/>
  <c r="C6" i="37"/>
  <c r="C5" i="37"/>
  <c r="C9" i="36"/>
  <c r="A7" i="36"/>
  <c r="C6" i="36"/>
  <c r="C5" i="36"/>
  <c r="A2" i="36"/>
  <c r="C9" i="35"/>
  <c r="A7" i="35"/>
  <c r="C6" i="35"/>
  <c r="C5" i="35"/>
  <c r="A2" i="35"/>
  <c r="C9" i="34"/>
  <c r="A7" i="34"/>
  <c r="C6" i="34"/>
  <c r="C5" i="34"/>
  <c r="C9" i="33"/>
  <c r="A7" i="33"/>
  <c r="C6" i="33"/>
  <c r="C5" i="33"/>
  <c r="C9" i="32"/>
  <c r="A7" i="32"/>
  <c r="C6" i="32"/>
  <c r="C5" i="32"/>
  <c r="C9" i="31"/>
  <c r="A7" i="31"/>
  <c r="C6" i="31"/>
  <c r="C5" i="31"/>
  <c r="C9" i="30"/>
  <c r="A7" i="30"/>
  <c r="C6" i="30"/>
  <c r="C5" i="30"/>
  <c r="A2" i="30"/>
  <c r="C9" i="29"/>
  <c r="A7" i="29"/>
  <c r="C6" i="29"/>
  <c r="C5" i="29"/>
  <c r="E30" i="36"/>
  <c r="E31" i="36"/>
</calcChain>
</file>

<file path=xl/sharedStrings.xml><?xml version="1.0" encoding="utf-8"?>
<sst xmlns="http://schemas.openxmlformats.org/spreadsheetml/2006/main" count="4424" uniqueCount="1362">
  <si>
    <t>Sastādīja:</t>
  </si>
  <si>
    <t>Arnis Gailītis</t>
  </si>
  <si>
    <t>Būves nosaukums:</t>
  </si>
  <si>
    <t>Objekta nosaukums:</t>
  </si>
  <si>
    <t>Objekta adrese:</t>
  </si>
  <si>
    <t>Nr.p.k.</t>
  </si>
  <si>
    <t>Kopā</t>
  </si>
  <si>
    <t>Kods</t>
  </si>
  <si>
    <t>Darba nosaukums</t>
  </si>
  <si>
    <t>Mērvienība</t>
  </si>
  <si>
    <t>Daudzums</t>
  </si>
  <si>
    <t>Sertifikāta Nr.20-5643</t>
  </si>
  <si>
    <t>Pārbaudīja:</t>
  </si>
  <si>
    <t>Piezīmes:</t>
  </si>
  <si>
    <t>Aivars Mauriņš</t>
  </si>
  <si>
    <t>Sertifikāta Nr.20-5957</t>
  </si>
  <si>
    <t xml:space="preserve"> Būvuzņēmējam jādod pilna apjoma tendera cenu piedāvājums, ieskaitot palīgdarbus  un materiālus, kas nav uzrādīti apjomu sarakstā un projektā, bet ir nepieciešami projektētās ēkas būvniecībai un nodošanai ekspluatācijā.</t>
  </si>
  <si>
    <t>Darba apjomu saraksts Nr.</t>
  </si>
  <si>
    <t>Pasūtījuma Nr.</t>
  </si>
  <si>
    <t>03-L.c</t>
  </si>
  <si>
    <t>gb.</t>
  </si>
  <si>
    <t>Maksa par ūdens patēriņu</t>
  </si>
  <si>
    <t>mēn</t>
  </si>
  <si>
    <t>Vienības izmaksas (euro)</t>
  </si>
  <si>
    <t>Summa (euro)</t>
  </si>
  <si>
    <t>Jelgavas 2.internātpamatskola</t>
  </si>
  <si>
    <t>Tāme sastādīta 2014.gada tirgus cenās, pamatojoties uz SIA „Baltex Group” tehniskā projekta rasējumiem un darbu apjomiem</t>
  </si>
  <si>
    <t>Tāme sastādīta:  2014.gada 22. septembris</t>
  </si>
  <si>
    <t>Filozofu iela 50, Jelgava</t>
  </si>
  <si>
    <t>„Jelgavas 2.internātpamatskolas” rekonstrukcija, sporta zāles ar rehabilitācijas telpām jaunbūve, teritorijas labiekārtošana 1. kārta</t>
  </si>
  <si>
    <t>Materiālu un iekārtu specifikācija Ū1</t>
  </si>
  <si>
    <t>27-L.c</t>
  </si>
  <si>
    <t>Ūdensapgādes PE caurule PN10. Iebūves dziļums līdz 2.0m, montāža DN100</t>
  </si>
  <si>
    <t>m</t>
  </si>
  <si>
    <t>Ūdensapgādes PE caurule PN10. Iebūves dziļums līdz 2.0m, montāža DN65</t>
  </si>
  <si>
    <t>Ūdensapgādes PE cauruļvadu fasondaļas</t>
  </si>
  <si>
    <t>kompl.</t>
  </si>
  <si>
    <t>Pazemes tipa ekspluatācijas aizbīdnis ar uzmavu PE (komplektā ar teleskopisko pagarinātājkātu h=1,5-2,0m un ielas kapi D180mm), montāža DN65</t>
  </si>
  <si>
    <t>gab</t>
  </si>
  <si>
    <t>Šķērsojums ar projektējamiem siltumtīkliem ar to aizsardzību 2DN89/160</t>
  </si>
  <si>
    <t>vietas</t>
  </si>
  <si>
    <t>Šķērsojums ar projektējamu sadzīves kanalizācijas tīklu ar to aizsardzību DN160</t>
  </si>
  <si>
    <t>Šķērsojums ar projektējamu lietus kanalizācijas tīklu ar to aizsardzību DN250</t>
  </si>
  <si>
    <t>Ūdensvada hidrauliskā pārbaude</t>
  </si>
  <si>
    <t>kpl</t>
  </si>
  <si>
    <t>Hidraulisko vairogu uzstādīšana būvbedru sienu nostiprināšanai (izmantojami pie tranšeju dziļuma &gt;2,0 m)</t>
  </si>
  <si>
    <t>Gruntsūdens līmeņa pazemināšana ar adatfiltriem rakšanas zonā</t>
  </si>
  <si>
    <t>Pieslēgums pie esošā ūdensvada DN100</t>
  </si>
  <si>
    <t>Pieslēgums pie esošā ūdensvada DN30</t>
  </si>
  <si>
    <t>Pamatu šķērsojums ar apvalkcauruli un blīvējuma palīgmateriāliem</t>
  </si>
  <si>
    <t>Digitālā uzmērīšana</t>
  </si>
  <si>
    <t>Palīgmateriāli</t>
  </si>
  <si>
    <t>Zemes darbi Ū1</t>
  </si>
  <si>
    <t>Tranšejas rakšana, grunts izstrāde ar ekskavatoru, vidējais dziļums līdz 2,0m</t>
  </si>
  <si>
    <r>
      <t>m</t>
    </r>
    <r>
      <rPr>
        <vertAlign val="superscript"/>
        <sz val="9"/>
        <rFont val="Arial"/>
        <family val="2"/>
        <charset val="186"/>
      </rPr>
      <t>3</t>
    </r>
  </si>
  <si>
    <t>Grunts izstrāde ar rokām</t>
  </si>
  <si>
    <t>Izlīdzinošā smilts slāņa 0.15 izbūve zem caurules</t>
  </si>
  <si>
    <t>Cauruļvada aizbēršana ar smilti 0.3m virs caurules</t>
  </si>
  <si>
    <t>Grunts atpakaļ aizbēršana blietējot</t>
  </si>
  <si>
    <t>Demontāžas darbi Ū1</t>
  </si>
  <si>
    <t>02-L.c</t>
  </si>
  <si>
    <t>Esošā ūdensvada demontāža DN30</t>
  </si>
  <si>
    <t>Esošā ūdensvada demontāža DN50</t>
  </si>
  <si>
    <t>Esošs ūdensapgādes elements</t>
  </si>
  <si>
    <t>Zālāja noņemšana</t>
  </si>
  <si>
    <r>
      <t>m</t>
    </r>
    <r>
      <rPr>
        <vertAlign val="superscript"/>
        <sz val="9"/>
        <rFont val="Arial"/>
        <family val="2"/>
        <charset val="186"/>
      </rPr>
      <t>2</t>
    </r>
  </si>
  <si>
    <t>Ārējā kanalizācija K1 -1.kārta--montāžas,palaišanas darbi</t>
  </si>
  <si>
    <t>Materiālu un iekārtu specifikācija K1</t>
  </si>
  <si>
    <t>Kanalizācijas PVC uzmavu caurule. Ieguldes klase T8. Iebūves dziļums līdz 1,5m, montāža DN100</t>
  </si>
  <si>
    <t>Kanalizācijas PVC uzmavu caurule. Ieguldes klase T8. Iebūves dziļums līdz 1,5m, monatāža DN160</t>
  </si>
  <si>
    <t>Kanalizācijas PVC uzmavu caurule. Ieguldes klase T8. Iebūves dziļums līdz 1,5m, montāža DN200</t>
  </si>
  <si>
    <t>Kanalizācijas PVC aizsargcaurule. Ieguldes klase T8, montāža D400</t>
  </si>
  <si>
    <t>Dzelzbetona skataka no saliekamiem dzelzbetona grodiem atbilstoši LVS EN 1917, ar iestrādātiem gumijas blīvgredzeniem, vāks no kaļamā ķeta ar gumijas blīvējumiem. Iebūves dziļums līdz 1,5m, montāža D1000</t>
  </si>
  <si>
    <t>Dzelzbetona skataka no saliekamiem dzelzbetona grodiem atbilstoši LVS EN 1917, ar iestrādātiem gumijas blīvgredzeniem, vāks no kaļamā ķeta ar gumijas blīvējumiem. Iebūves dziļums līdz 2,0m, montāža D1000</t>
  </si>
  <si>
    <t>Aizsargčaula akas sienā DN100</t>
  </si>
  <si>
    <t>Aizsargčaula akas sienā DN160</t>
  </si>
  <si>
    <t>Aizsargčaula akas sienā DN200</t>
  </si>
  <si>
    <t>Aizsargčaula akas sienā DN315</t>
  </si>
  <si>
    <t>Aizsargčaula akas sienā DN400</t>
  </si>
  <si>
    <t>Šķērsojums ar esošiem telekomunikāciju kabeļiem ar to aizsardzību</t>
  </si>
  <si>
    <t>Šķērsojums ar esošu ūdensvadu ar to aizsardzību D50</t>
  </si>
  <si>
    <t>Šķērsojums ar esošu ūdensvadu ar to aizsardzību D100</t>
  </si>
  <si>
    <t>Šķērsojums ar esošu caurteku ar to aizsardzību D500</t>
  </si>
  <si>
    <t>Šķērsojums ar nedarbojošiem telekomunikāciju kabeļiem</t>
  </si>
  <si>
    <t>Šķērsojums ar  demontējamiem apgaismes kabeļiem</t>
  </si>
  <si>
    <t>Šķērsojums ar demontējamu sadzīves kanalizācijas tīklu D200</t>
  </si>
  <si>
    <t>Šķērsojums ar projektējamu lietus kanalizācijas tīklu ar to aizsardzību DN200</t>
  </si>
  <si>
    <t>TV inspekcija sadzīves kanalizācijas cauruļvadiem</t>
  </si>
  <si>
    <t>Pašteces lietus kanalizācijas tīklu pārbaude uz infiltrāciju</t>
  </si>
  <si>
    <t>Pieslēgums pie esošas sadzīves kanalizācijas DN315</t>
  </si>
  <si>
    <t>Zemes darbi K1</t>
  </si>
  <si>
    <t>Tranšejas rakšana, grunts izstrāde ar ekskavatoru, vidējais dziļums līdz 1,50m</t>
  </si>
  <si>
    <t>Demontāžas darbi K1</t>
  </si>
  <si>
    <t>Esošās sadzīves kanalizācijas demontāža DN150</t>
  </si>
  <si>
    <t>Esošās sadzīves kanalizācijas demontāža DN200</t>
  </si>
  <si>
    <t>Esošo sadzīves kanalizācijas aku demontāža</t>
  </si>
  <si>
    <t>Asfaltseguma demontāža</t>
  </si>
  <si>
    <t>Betona flīžu seguma demontāžā</t>
  </si>
  <si>
    <t>Atjaunošanas darbi K1</t>
  </si>
  <si>
    <t>L.c</t>
  </si>
  <si>
    <t>Asfaltbetons AC-11 h=40mm</t>
  </si>
  <si>
    <t>Šķembas zem atjaunojamā asfalta h=250 mm</t>
  </si>
  <si>
    <t>Drenējošas smiltis h=300 mm</t>
  </si>
  <si>
    <t>Betona flīžu seguma atjaunošana</t>
  </si>
  <si>
    <t>Zālāja atjaunošana</t>
  </si>
  <si>
    <t>Melnzeme zem zālāja h=150mm</t>
  </si>
  <si>
    <r>
      <t>Zālāju sēkla, aprēķina daudzums 4kg/100m</t>
    </r>
    <r>
      <rPr>
        <vertAlign val="superscript"/>
        <sz val="9"/>
        <rFont val="Arial"/>
        <family val="2"/>
        <charset val="186"/>
      </rPr>
      <t>2</t>
    </r>
  </si>
  <si>
    <t>kg</t>
  </si>
  <si>
    <t>kompl</t>
  </si>
  <si>
    <t>Lietus kanalizācijas sūkņi SL1.100.150.55.4.50D.C (Q=60,7/s, H=6,06, 5,5kW)</t>
  </si>
  <si>
    <t>Monolītas armētas (dzelzsbetona) pamata plātnes 2500 × 2500 × 150 mm betonēšana zem KSS, betons B25, iestrādājot ar sūkni, ieskaitot veidņu montāžu</t>
  </si>
  <si>
    <t>Betona balsts</t>
  </si>
  <si>
    <t>KSS būvbedres sienu nostiprināšana ar tērauda rievsienām</t>
  </si>
  <si>
    <t>Šķērsojums ar esošiem apgaismojuma kabeļiem ar to aizsardzību</t>
  </si>
  <si>
    <t>Šķērsojums ar demontējamu siltumtrasi</t>
  </si>
  <si>
    <t>Šķērsojums ar demontējamu apgaismojuma kabeli</t>
  </si>
  <si>
    <t>TV inspekcija lietus kanalizācijas cauruļvadiem</t>
  </si>
  <si>
    <t>Esošās caurtekas rekonstrukcija</t>
  </si>
  <si>
    <t>Zemes darbi K2</t>
  </si>
  <si>
    <t>Šķembu sagataves kārta zem sūkņu stacijas h=150mm (frakcija 40-60mm)</t>
  </si>
  <si>
    <t>Demontāžas darbi K2</t>
  </si>
  <si>
    <t>Esošās lietus kanalizācijas demontāža</t>
  </si>
  <si>
    <t>Esošo gūliju demontāža</t>
  </si>
  <si>
    <t>Atjaunošanas darbi K2</t>
  </si>
  <si>
    <t>Esošā grāvja rekonstrukcija, iztīrīšana, padziļināšana, apauguma izciršana</t>
  </si>
  <si>
    <t>Ārējā sultumtrase -1.kārta--montāžas,palaišanas darbi</t>
  </si>
  <si>
    <t>Materiālu un iekārtu specifikācija ST</t>
  </si>
  <si>
    <t>Izolētas caurules Ø76/160</t>
  </si>
  <si>
    <t>Izolētas caurules Ø89/160</t>
  </si>
  <si>
    <t>Lodveida ventīlis</t>
  </si>
  <si>
    <t>gab.</t>
  </si>
  <si>
    <t>Izolēts T-atzars Ø89/160 ar servisa krānu Dn32, H=0,4m</t>
  </si>
  <si>
    <t>Dzelzbetona aka KC-10-45 no saliek. dz./bet. elem. ar iestrādātiem gumijas blīvgredzeniem un gropi blīvējuma iestrādei ar peldošu akas lūku (40 t)</t>
  </si>
  <si>
    <t>Dzelzbetonu grodu akas vāks KCP-10K (h-100mm)</t>
  </si>
  <si>
    <t>Starplikas gredzeni augstuma regulēšanai KCO-5(50mm)</t>
  </si>
  <si>
    <t>Starplikas gredzeni augstuma regulēšanai KCO-1(100mm)</t>
  </si>
  <si>
    <t>Pamata bloks FBS-9-4-6T (400x600x900mm)</t>
  </si>
  <si>
    <t>Cauruļvadu savienojuma termonosēdošā uzmava Ø89/160 caurulei komplektā ar 2 termonosēdošām manžetēm, PUR putu komponentes</t>
  </si>
  <si>
    <t>Cauruļvadu savienojuma termonosēdošā uzmava Ø76/160 caurulei komplektā ar 2 termonosēdošām manžetēm, PUR putu komponentes</t>
  </si>
  <si>
    <t>Izolēts vertikālais līkums Ø89/160 90° (L1=1500mm; L2=1500mm)</t>
  </si>
  <si>
    <t>Izolēts līkums Ø89/160 90° (L1=1300mm; L2=1300mm)</t>
  </si>
  <si>
    <t>Izolēts līkums Ø89/160 90° (L1=1000mm; L2=1000mm)</t>
  </si>
  <si>
    <t>Izolēts vertikālais līkums Ø76/160 90° (L1=1500mm; L2=1500mm)</t>
  </si>
  <si>
    <t>Izolēts līkums Ø76/160 55° (L1=1000mm; L2=1000mm)</t>
  </si>
  <si>
    <t>Izolēts līkums Ø76/160 68° (L1=1000mm; L2=1000mm)</t>
  </si>
  <si>
    <t>Kompensācijas spilvenis</t>
  </si>
  <si>
    <t>Elastīgie ievadi Ø160, blīvējuma gredzens</t>
  </si>
  <si>
    <t>Gala uzmavas Ø89/160</t>
  </si>
  <si>
    <t>Gala uzmavas Ø76/160</t>
  </si>
  <si>
    <t>Signalizācijas sistēmas elementi</t>
  </si>
  <si>
    <t>Metināšanas materiāli</t>
  </si>
  <si>
    <t>Pārējie materiāli, palīgmateriāli</t>
  </si>
  <si>
    <t>Elektrokabeļu aizsargcaurule Arot PS110</t>
  </si>
  <si>
    <t>Šķērsojums ar esošu ūdensvadu, ar to aizsardzību</t>
  </si>
  <si>
    <t>Šķērsojums ar projektējamu ūdensvadu, ar to aizsardzību</t>
  </si>
  <si>
    <t>Šķērsojums ar projektējamu lietusūdens kanalizācijas tīklu, ar to aizsardzību</t>
  </si>
  <si>
    <t>Šķērsojums ar projektējamu sadzīves kanalizācijas tīklu, ar to aizsardzību</t>
  </si>
  <si>
    <t>Šķērsojums ar projektējamu zemētāju, ar to aizsardzību</t>
  </si>
  <si>
    <t>Šķērsojums ar projektējamu elektrokabeli, ar to aizsardzību</t>
  </si>
  <si>
    <t>Šķērsojums ar demontējamu sadzīves kanalizācijas tīklu, ar to aizsardzību</t>
  </si>
  <si>
    <t>Šķērsojums ar demontējamu sadzīves kanalizācijas tīklu</t>
  </si>
  <si>
    <t>Šķērsojums ar demontējamu ūdensapgādes tīklu</t>
  </si>
  <si>
    <t>Šķērsojums ar demontējamu apgaismes elektrokabeli</t>
  </si>
  <si>
    <t>Šķērsojums ar demontējamu siltumapgādes tīklu</t>
  </si>
  <si>
    <t>Marķējuma lentas ieklāšana</t>
  </si>
  <si>
    <t>Grunts krāsa LARAGRUNTS 2 kārtas</t>
  </si>
  <si>
    <t>Rupjgraudainas smilts bez māla un akmeņiem</t>
  </si>
  <si>
    <t>Zemes darbi ST</t>
  </si>
  <si>
    <t>Grunts izstrāde ar ekskavatoru</t>
  </si>
  <si>
    <t>Asfaltbetona noņemšana</t>
  </si>
  <si>
    <t>Tranšejas aizbēršana</t>
  </si>
  <si>
    <t>Pamatnes ierīkošana zem cauruļvadiem no rupjgraudainas smilts h=0,15m (bez māla un akmeņiem) blietēta līdz 98%</t>
  </si>
  <si>
    <t>Smilšu apbērums virs (h=0,3m) un ap caurulēm, blietēts līdz 98%</t>
  </si>
  <si>
    <t>Pārējās tranšejas daļas aizbēršana, blietēta līdz 95%</t>
  </si>
  <si>
    <t>Liekā grunts ar vešanu prom un atpakaļ vešanu</t>
  </si>
  <si>
    <t>Celtniecības darbi ST</t>
  </si>
  <si>
    <t>Divcauruļu siltumtīklu montāža no rūpnieciski izolētām tērauda caurulēm tranšejā</t>
  </si>
  <si>
    <t>Rūpnieciski izolētu veidgabu montāža tranšejā</t>
  </si>
  <si>
    <t>Kompensācijas spilvena uzstādīšana tranšejā</t>
  </si>
  <si>
    <t>Ievada montāža ēkā 2xd89/160</t>
  </si>
  <si>
    <t>Ievada montāža ēkā 2xd76/160</t>
  </si>
  <si>
    <t>Pieslēgums pie esošiem tīkliem</t>
  </si>
  <si>
    <t>Elektrokabeļu aizsardzība Arot PS110</t>
  </si>
  <si>
    <t>Dzelzbetona grodu  uzstādīšana komplektā ar grodu akas vāku, starplikas gredzeniem, peldošu akas lūku, pamata blokiem.</t>
  </si>
  <si>
    <t>Demontāžas darbi ST</t>
  </si>
  <si>
    <t>Esošo divcauruļu siltumtīklu demontāža, aizvešana 2DN80/160</t>
  </si>
  <si>
    <t>Esošo divcauruļu siltumtīklu demontāža, aizvešana 2DN76/160</t>
  </si>
  <si>
    <t>Esošo divcauruļu siltumtīklu demontāža, aizvešana 2DN50/140</t>
  </si>
  <si>
    <t>Esošo divcauruļu karstā ūdens cauruļvadu demontāža 2DN40/28</t>
  </si>
  <si>
    <t>Esošo dzelzbetona aku demontāža D1000</t>
  </si>
  <si>
    <t>Tranšejas rakšana un aizbēršana viena līdz divu kabeļu (caurules) gūldīšanai 0.7m dziļumā ar rokām</t>
  </si>
  <si>
    <t>Tranšejas rakšana un aizbēršana trīs līdz četru kabeļu (caurules) gūldīšanai 1m dziļumā ar rokām</t>
  </si>
  <si>
    <t>ZS kabeļa no 50 līdz 150 mm2 ievēršana caurulē</t>
  </si>
  <si>
    <t>51</t>
  </si>
  <si>
    <t>Kabeļu aizsargcaurules d=līdz 110 mm ieguldīšana gatavā tranšejā</t>
  </si>
  <si>
    <t>43</t>
  </si>
  <si>
    <t>PEHD caurules d=70 līdz 110 mm horizontāla urbšana-caurvilkšana</t>
  </si>
  <si>
    <t>8</t>
  </si>
  <si>
    <t>Tranšeja - bedre ZS uzmavām</t>
  </si>
  <si>
    <t>Kabeļa trases uzrādītāja stabiņa uzstādīšana</t>
  </si>
  <si>
    <t>ZS kabeļlīnijas pievienošana (atvienošana)</t>
  </si>
  <si>
    <t>vieta</t>
  </si>
  <si>
    <t>2</t>
  </si>
  <si>
    <t>1.2 Demontāžas darbi</t>
  </si>
  <si>
    <t>ZS kabeļa demontāža</t>
  </si>
  <si>
    <t>Kabeļu komutācijas + individuālas uzskaites sadalnes montāža (piem., LUKS+LU tipa)</t>
  </si>
  <si>
    <t>1.3 Citi darbi</t>
  </si>
  <si>
    <t>EPL vai sarkanās līnijas nospraušana</t>
  </si>
  <si>
    <t>km</t>
  </si>
  <si>
    <t>EPL digitālā uzmērīšana</t>
  </si>
  <si>
    <t>Rakšanas atļaujas saņemšana</t>
  </si>
  <si>
    <t>objekts</t>
  </si>
  <si>
    <t>Nodeva par Būvatļaujas nodošanu</t>
  </si>
  <si>
    <t>1.4 Materiāli</t>
  </si>
  <si>
    <t>Kabelis AXMK-1-4x120</t>
  </si>
  <si>
    <t>Kabeļtrases uzrādītājmietiņš, 1kV</t>
  </si>
  <si>
    <t>Savien uzmava SMHA4 4x35...150mm²</t>
  </si>
  <si>
    <t>k-ts</t>
  </si>
  <si>
    <t>PEHD  aizsargcaurule 750 N D=110 mm</t>
  </si>
  <si>
    <t>Brīdinājuma lenta KABELIS 1kV</t>
  </si>
  <si>
    <t>Tranšejas rakšana un aizbēršana viena līdz divu kabeļu (caurules) gūldīšanai 0.7m dziļumā</t>
  </si>
  <si>
    <t>217</t>
  </si>
  <si>
    <t>Tranšejas rakšana un aizbēršana viena līdz divu kabeļu (caurules) gūldīšanai 1m dziļumā</t>
  </si>
  <si>
    <t>52</t>
  </si>
  <si>
    <t>Tranšejas rakšana un aizbēršana trīs līdz četru kabeļu (caurules) gūldīšanai 1m dziļumā</t>
  </si>
  <si>
    <t>26</t>
  </si>
  <si>
    <t>165</t>
  </si>
  <si>
    <t>ZS kabeļa līdz 35 mm2 ieguldīšana gatavā tranšejā</t>
  </si>
  <si>
    <t>176</t>
  </si>
  <si>
    <t>ZS kabeļa līdz 35 mm2 ievēršana caurulē</t>
  </si>
  <si>
    <t>4</t>
  </si>
  <si>
    <t>2.2 Demontāžas darbi</t>
  </si>
  <si>
    <t>2.3 Materiāli</t>
  </si>
  <si>
    <t>Kabelis AXPK-1-4x35</t>
  </si>
  <si>
    <t>Kabelis NYY-J-1-4x6</t>
  </si>
  <si>
    <t>Kabelis NYY-J-1-3x4</t>
  </si>
  <si>
    <t>Aizsargcaurule PEHD 750N D=63mm [Evocab HARD]</t>
  </si>
  <si>
    <t>Aizsargcaurule PEHD 450N D=63mm [Evocab FLEX]</t>
  </si>
  <si>
    <t>Gala apdare EPKT0015</t>
  </si>
  <si>
    <t>3. Apgaismes tīklu ierīkošana</t>
  </si>
  <si>
    <t>53</t>
  </si>
  <si>
    <t>237</t>
  </si>
  <si>
    <t>Apgaismes balstu uzstādīšana (6m)</t>
  </si>
  <si>
    <t>K-ts</t>
  </si>
  <si>
    <t>Apgaismes stabu uzstādīšana (1.2m)</t>
  </si>
  <si>
    <t>3.2 Demontāžas darbi</t>
  </si>
  <si>
    <t>Apgaismes balstu demontāža (~5m)</t>
  </si>
  <si>
    <t>3.3 Materiāli</t>
  </si>
  <si>
    <t>Kabelis NYY-J 4x2.5</t>
  </si>
  <si>
    <t>Kabelis NYY-J 3x1.5</t>
  </si>
  <si>
    <t>Aizsargcaurule PEHD 750N D=50mm [Evocab HARD]</t>
  </si>
  <si>
    <t>Aizsargcaurule PEHD 450N D=50mm [Evocab FLEX]</t>
  </si>
  <si>
    <r>
      <t xml:space="preserve">Gaismeklis  </t>
    </r>
    <r>
      <rPr>
        <sz val="10"/>
        <rFont val="Arial,Bold"/>
        <charset val="238"/>
      </rPr>
      <t xml:space="preserve"> Siteco </t>
    </r>
    <r>
      <rPr>
        <b/>
        <sz val="10"/>
        <rFont val="Arial,Bold"/>
        <charset val="238"/>
      </rPr>
      <t>Street light 10 mini</t>
    </r>
    <r>
      <rPr>
        <sz val="10"/>
        <rFont val="Calibri"/>
        <family val="1"/>
        <charset val="1"/>
      </rPr>
      <t xml:space="preserve"> 	3070 lm, 36 W 5000 K 230 V 50 Hz   IP 66</t>
    </r>
  </si>
  <si>
    <r>
      <t xml:space="preserve">Gaismeklis Prožektors Siteco </t>
    </r>
    <r>
      <rPr>
        <b/>
        <sz val="10"/>
        <rFont val="Arial"/>
        <family val="2"/>
        <charset val="1"/>
      </rPr>
      <t>Sicompact A2 Mini</t>
    </r>
    <r>
      <rPr>
        <sz val="10"/>
        <rFont val="Arial"/>
        <family val="2"/>
        <charset val="1"/>
      </rPr>
      <t xml:space="preserve"> LED</t>
    </r>
    <r>
      <rPr>
        <b/>
        <sz val="10"/>
        <rFont val="Arial,Bold"/>
        <charset val="238"/>
      </rPr>
      <t xml:space="preserve"> 41</t>
    </r>
    <r>
      <rPr>
        <sz val="10"/>
        <rFont val="Arial,Bold"/>
        <charset val="238"/>
      </rPr>
      <t>W 5000K 2180 lm, stiprināms pie fasādes</t>
    </r>
  </si>
  <si>
    <r>
      <t xml:space="preserve">Gaismeklis Apgaismes stabs Siteco </t>
    </r>
    <r>
      <rPr>
        <b/>
        <sz val="10"/>
        <rFont val="Arial,Bold"/>
        <charset val="238"/>
      </rPr>
      <t>CL CITY-LIHGT 120 E LED  32</t>
    </r>
    <r>
      <rPr>
        <sz val="10"/>
        <rFont val="Arial,Bold"/>
        <charset val="238"/>
      </rPr>
      <t>W 5000K 1990 lm, IP54</t>
    </r>
  </si>
  <si>
    <t>Stabs parka 6.5m (6m virs zemes) cinkots</t>
  </si>
  <si>
    <t>Gab.</t>
  </si>
  <si>
    <t>Konsole L-veida 1.5/1.0/15 (Hv/V/leņķis) cinkota</t>
  </si>
  <si>
    <t>Pamats stabiem līdz 6m 118.9kg DBP-10</t>
  </si>
  <si>
    <t>Apgaismojuma savienojuma spaile bez drošinātāja</t>
  </si>
  <si>
    <t>Betons B-25 pamatņu fiksēšanai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</si>
  <si>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</si>
  <si>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Rupjgraudaina grants pamatņu spilvenam</t>
  </si>
  <si>
    <t>4.Citi darbi</t>
  </si>
  <si>
    <t>14-L.c</t>
  </si>
  <si>
    <t>Wavin Tigris Alupex caurule Ø32×3.0</t>
  </si>
  <si>
    <t>Wavin Tigris Alupex cauruļu veidgabali</t>
  </si>
  <si>
    <t>Izolācija Armacell TUBOLIT DG TL-18/9-DG, grūti degoša</t>
  </si>
  <si>
    <t>Izolācija Armacell TUBOLIT DG TL-20/9-DG, grūti degoša</t>
  </si>
  <si>
    <t>Izolācija Armacell TUBOLIT DG TL-25/9-DG, grūti degoša</t>
  </si>
  <si>
    <t>Izolācija Armacell TUBOLIT DG TL-35/9-DG, grūti degoša</t>
  </si>
  <si>
    <t>Izolācija Armacell TUBOLIT DG TL-60/9-DG-B1, grūti degoša</t>
  </si>
  <si>
    <t>Manometrs ar krānu 0-6 bar</t>
  </si>
  <si>
    <t>Cauruļvadu stiprinājumi (atkarībā no pielietojamas mont. tehn.)</t>
  </si>
  <si>
    <t>Ugunsdrošības mastika</t>
  </si>
  <si>
    <t>T3, T4 sistēma</t>
  </si>
  <si>
    <t>Izolācija Armacell TUBOLIT DG TL-18/20-DG, grūti degoša</t>
  </si>
  <si>
    <t>Izolācija Armacell TUBOLIT DG TL-22/20-DG, grūti degoša</t>
  </si>
  <si>
    <t>Izolācija Armacell TUBOLIT DG TL-28/20-DG, grūti degoša</t>
  </si>
  <si>
    <t>Izolācija Armacell TUBOLIT DG TL-35/20-DG, grūti degoša</t>
  </si>
  <si>
    <t>Cauruļvadu stiprinājumi</t>
  </si>
  <si>
    <t>Ū2 sistēma</t>
  </si>
  <si>
    <t>Ugunsdzēsības kaste (zem apmetuma, baltā krāsā) komplektā ar krānu DN50, šļūteni DN50 L=20m, ugunsdzēsības pogu, ugunsdzēsības stobra uzgaļa izplūdes diametrs 13mm.</t>
  </si>
  <si>
    <t>Manometrs elektrokontaktu ar krānu 0-6 bar</t>
  </si>
  <si>
    <t>Iekšējās  kanalizācijas -montāžas,palaišanas darbi-1.kārta</t>
  </si>
  <si>
    <t>Kanalizācija K1</t>
  </si>
  <si>
    <t>16-L.c</t>
  </si>
  <si>
    <t>PP kanalizācijas caurule ar uzmavu DN50</t>
  </si>
  <si>
    <t>PP kanalizācijas caurule ar uzmavu DN75</t>
  </si>
  <si>
    <t>PP kanalizācijas caurule ar uzmavu DN100</t>
  </si>
  <si>
    <t>PP kanalizācijas caurules veidgabali DN50</t>
  </si>
  <si>
    <t>PP kanalizācijas caurules veidgabali DN75</t>
  </si>
  <si>
    <t>PP kanalizācijas caurules veidgabali DN100</t>
  </si>
  <si>
    <t>Revīzija DN100</t>
  </si>
  <si>
    <t>Traps ar vertikālo izvadu DN100</t>
  </si>
  <si>
    <t>Tīrīšanas lūka nerūsējošā tērauda DN100</t>
  </si>
  <si>
    <t>Ugunsdrošības lentas DN100</t>
  </si>
  <si>
    <t>Kanalizācijas ventilācijas izvads Vilpe ar  izolāciju komplektā ar blīvslēgu</t>
  </si>
  <si>
    <t>palīgmateriāli</t>
  </si>
  <si>
    <t>Sanitārtehniskās ierīces</t>
  </si>
  <si>
    <t>Keramiskais klozetpods komplektā ar skalojamo kasti, noslēgarmatūru, vāku, (Kp)</t>
  </si>
  <si>
    <t>Keramiskais klozetpods invalīdu, komplektā ar skalojamo kasti, noslēgarmatūru, vāku (IKp)</t>
  </si>
  <si>
    <t>Keramiskā izlietne, komplektā ar sifonu, stiprinājumiem, maisītājkrānu (RMg)</t>
  </si>
  <si>
    <t>Keramiskā izlietne invalīdiem, komplektā ar sifonu un maisītājkrānu ar pagarinātu rokturi ērtākai lietošanai, komplektā ar pop-up (IRMg)</t>
  </si>
  <si>
    <t>Keramiskais urināls komplektā ar sifonu (noplūde slēpta sienā), ar skalojamo spiedpogu, kurai regulējās ūdens padeve (U)</t>
  </si>
  <si>
    <t>Dušas kabīne komplektā ar sifonu un dušas maisītājkrānu (D)</t>
  </si>
  <si>
    <t>Vanna komplektā ar sifonu un vannas maisītājkrānu (V)</t>
  </si>
  <si>
    <t>17-L.c</t>
  </si>
  <si>
    <t>Radiatoru apkures sistēma  "H1"-montāžas,palaišanas,pārbaudes darbi</t>
  </si>
  <si>
    <t>Tērauda radiators Purmo "Compact" komplektā ar montāžas stiprinājumiem, atgaisotāju, korķiem PC11-400-400</t>
  </si>
  <si>
    <t>Tērauda radiators Purmo "Compact" komplektā ar montāžas stiprinājumiem, atgaisotāju, korķiem PC11-400-600</t>
  </si>
  <si>
    <t>Tērauda radiators Purmo "Compact" komplektā ar montāžas stiprinājumiem, atgaisotāju, korķiem PC11-400-700</t>
  </si>
  <si>
    <t>Tērauda radiators Purmo "Compact" komplektā ar montāžas stiprinājumiem, atgaisotāju, korķiem PC11-400-800</t>
  </si>
  <si>
    <t>Tērauda radiators Purmo "Compact" komplektā ar montāžas stiprinājumiem, atgaisotāju, korķiem PC11-400-1000</t>
  </si>
  <si>
    <t>Tērauda radiators Purmo "Compact" komplektā ar montāžas stiprinājumiem, atgaisotāju, korķiem PC22-400-1000</t>
  </si>
  <si>
    <t>Tērauda radiators Purmo "Compact" komplektā ar montāžas stiprinājumiem, atgaisotāju, korķiem PC22-400-1600</t>
  </si>
  <si>
    <t>Tērauda radiators Purmo "Compact" komplektā ar montāžas stiprinājumiem, atgaisotāju, korķiem PC22-500-1000</t>
  </si>
  <si>
    <t>Tērauda radiators Purmo "Compact" komplektā ar montāžas stiprinājumiem, atgaisotāju, korķiem PC22-900-500</t>
  </si>
  <si>
    <t>Alumīnija radiators Fondital komplektā ar montāžas stiprinājumiem, atgaisotāju, korķiem Calidor 500/3sec</t>
  </si>
  <si>
    <t>Alumīnija radiators Fondital komplektā ar montāžas stiprinājumiem, atgaisotāju, korķiem Calidor 500/5sec</t>
  </si>
  <si>
    <t>Radiatora vārsts RA-N 15</t>
  </si>
  <si>
    <t>gb</t>
  </si>
  <si>
    <t>Radiatora termostatgalva RA-2990</t>
  </si>
  <si>
    <t>Noslēgvārsts RLV</t>
  </si>
  <si>
    <t>Radiatora vārsts alumīnija radiatoram</t>
  </si>
  <si>
    <t>Radiatora termostatgalva alumīnija radiatoram</t>
  </si>
  <si>
    <t>Noslēgvārsts alumīnija radiatoram</t>
  </si>
  <si>
    <t>Elektriskais radiators 500W</t>
  </si>
  <si>
    <t>Lodveida ventilis Dn15</t>
  </si>
  <si>
    <t>Lodveida ventilis Dn25</t>
  </si>
  <si>
    <t>Balansēšanas vārsts  STAD 15;Kvs=2,52</t>
  </si>
  <si>
    <t>Balansēšanas vārsts  STAD 20;Kvs=5,7</t>
  </si>
  <si>
    <t>Automātiskais atgaisotājs ar noslēgvārstu Dn15</t>
  </si>
  <si>
    <t>Daudzslāņu kompozītcaurule Unipipe MLCP 16x2,0</t>
  </si>
  <si>
    <t>Daudzslāņu kompozītcaurule Unipipe MLCP 20x2,25</t>
  </si>
  <si>
    <t>Daudzslāņu kompozītcaurule Unipipe MLCP 25x2,5</t>
  </si>
  <si>
    <t>Daudzslāņu kompozītcaurule Unipipe MLCP 32x3,0</t>
  </si>
  <si>
    <t>Izolācija 018-04/10m Climaflex Stabil</t>
  </si>
  <si>
    <t>Izolācija 022-04/10m Climaflex Stabil</t>
  </si>
  <si>
    <t>Izolācija 028-04/10m Climaflex Stabil</t>
  </si>
  <si>
    <t>Izolācija 035-04/10m Climaflex Stabil</t>
  </si>
  <si>
    <t>Stikla vates čaulas Ultimate U protect 1000S Alu 2 42x20mm</t>
  </si>
  <si>
    <t>Daudzslāņu cauruļvadu veidgabali un stiprinājumi</t>
  </si>
  <si>
    <t>Daudzslāņu cauruļvadu montāžas  komplekts</t>
  </si>
  <si>
    <t>Tērauda cauruļu veidgabali un stiprinājumi</t>
  </si>
  <si>
    <t>Tērauda cauruļu montāžas  komplekts</t>
  </si>
  <si>
    <t>Izolācijas palīgmateriāli</t>
  </si>
  <si>
    <t>Marķēšanas materiāli</t>
  </si>
  <si>
    <t>Ugunsdrošās manžetes</t>
  </si>
  <si>
    <t>Sistēmas hidrauliskā pārbaude, ballansēšana un marķēšana</t>
  </si>
  <si>
    <t>Ventilācijas siltumapgāde "H2"</t>
  </si>
  <si>
    <t>Ventilācijas sistēmas -montāžas,palaišanas,pārbaudes darbi</t>
  </si>
  <si>
    <t>PN-1</t>
  </si>
  <si>
    <t>Gaisa apstrādes agregāts "PN-1"; Pieplūdes ventilators: L=5250m³/h; H=300Pa; nosūces ventilators: L=5250m³/h; H=300Pa; gaisa filtri: pieplūde klase F7 / nosūce klase K4; plākšņu rekoperators (92%); Gaisa sildītājs: Q=4,9kW (ūdens) ar sajaukšanās grupu ( RE-TPO3.LM24A-SR (Sajaukšanās ventilis IVAR.MIX3; servo piedziņa LM24A-SR; lodveida vārsts 1"; sūknis YONOS PARA RS 20/6- RKC; ūdens bypass); Gaisa priekšildītājs: elektriskais - 21,5 kW;  Noslēgvārsti ar motoru; elastīgie gaisa;  vadu savienojumi; agregāta stiprinājuma rāmis, iekārtas automātika.DUPLEX 8000 MULTI</t>
  </si>
  <si>
    <t>Droseļvārsts PTS/B-100</t>
  </si>
  <si>
    <t>Droseļvārsts PTS/B-125</t>
  </si>
  <si>
    <t>Droseļvārsts PTS/B-160</t>
  </si>
  <si>
    <t>Droseļvārsts PTS/B-250</t>
  </si>
  <si>
    <t>Droseļvārsts UTK/R-300x100</t>
  </si>
  <si>
    <t>Droseļvārsts UTK/R-500x300</t>
  </si>
  <si>
    <t>Droseļvārsts UTK/R-600x300</t>
  </si>
  <si>
    <t>Ugunsdrošais vārsts BSD-100</t>
  </si>
  <si>
    <t>Ugunsdrošais vārsts BSD-125</t>
  </si>
  <si>
    <t>Ugunsdrošais vārsts BSD-200</t>
  </si>
  <si>
    <t>Ugunsdrošais vārsts BSD-250</t>
  </si>
  <si>
    <t>Ugunsdrošais vārsts RSHA-T-400x300</t>
  </si>
  <si>
    <t>Ugunsdrošais vārsts RSHA-T-500x300</t>
  </si>
  <si>
    <t>Ugunsdrošais vārsts RSHA-T-600x300</t>
  </si>
  <si>
    <t>Gaisa sadalītājs (pieplūde) KE-100</t>
  </si>
  <si>
    <t>Gaisa sadalītājs (pieplūde) KE-125</t>
  </si>
  <si>
    <t>Gaisa sadalītājs (pieplūde) KE-160</t>
  </si>
  <si>
    <t>Gaisa sadalītājs (pieplūde) NOVA-A-300x100</t>
  </si>
  <si>
    <t>Gaisa sadalītājs (nosūce) KSO-100</t>
  </si>
  <si>
    <t>Gaisa sadalītājs (nosūce) KSO-125</t>
  </si>
  <si>
    <t>Gaisa sadalītājs (nosūce) KSO-160</t>
  </si>
  <si>
    <t>Gaisa sadalītājs (nosūce) SV-1-600-300</t>
  </si>
  <si>
    <t>Gaisa sadalītājs (pārplūdes restes) OVX-300</t>
  </si>
  <si>
    <t>Gaisa ieņemšanas reste USS/I-900-700</t>
  </si>
  <si>
    <t>Gaisa izmešanas reste USS/I-900-700</t>
  </si>
  <si>
    <t>Trokšņu slāpētājs SLRS 200/100 600 300 1500</t>
  </si>
  <si>
    <t>Trokšņu slāpētājs SLRS 200/150 700 500 1500</t>
  </si>
  <si>
    <t>Trokšņu slāpētājs SLRS 200/100 900 700 1500</t>
  </si>
  <si>
    <t>Trokšņu slāpētājs SLU 200 900 50</t>
  </si>
  <si>
    <t>Trokšņu slāpētājs SLU 250 900 50</t>
  </si>
  <si>
    <t>Gaisa vads no cinkotā skārda 100</t>
  </si>
  <si>
    <t>Gaisa vads no cinkotā skārda 125</t>
  </si>
  <si>
    <t>Gaisa vads no cinkotā skārda 160</t>
  </si>
  <si>
    <t>Gaisa vads no cinkotā skārda 200</t>
  </si>
  <si>
    <t>Gaisa vads no cinkotā skārda 250</t>
  </si>
  <si>
    <t>Gaisa vads no cinkotā skārda 315</t>
  </si>
  <si>
    <t>Gaisa vads no cinkotā skārda 300x100</t>
  </si>
  <si>
    <t>Gaisa vads no cinkotā skārda 400x300</t>
  </si>
  <si>
    <t>Gaisa vads no cinkotā skārda 500x300</t>
  </si>
  <si>
    <t>Gaisa vads no cinkotā skārda 500x400</t>
  </si>
  <si>
    <t>Gaisa vads no cinkotā skārda 600x300</t>
  </si>
  <si>
    <t>Gaisa vads no cinkotā skārda 700x500</t>
  </si>
  <si>
    <t>Gaisa vads no cinkotā skārda 900x700</t>
  </si>
  <si>
    <t>Tīrīšanas lūka gaisa vadiem</t>
  </si>
  <si>
    <t>Minerālvates siltumizolācija "Isover" CLIMCOVER CR2 ALU2 100mm</t>
  </si>
  <si>
    <t>m²</t>
  </si>
  <si>
    <t>Gaisa vadu veidgabali un stiprinājumi</t>
  </si>
  <si>
    <t>Izolācijas komplekts, palīgmateriāli</t>
  </si>
  <si>
    <t>Montāžas komplekts, palīgmateriāli</t>
  </si>
  <si>
    <t>Sistēmas ballansēšana un marķēšana</t>
  </si>
  <si>
    <t>Siltummezgls -montāžas,palaišanas,pārbaudes darbi</t>
  </si>
  <si>
    <t>Siltumskaitītājs komplektā ar sensoriem un sensoru ligzdu Siltuma skaitītājs Multical 602 ar plūsmas mērītāju Ultraflow,  Qnom. 2,5 m3/h Dn 20,KAMSTRUP</t>
  </si>
  <si>
    <t>Karstā ūdens plākšņu siltummainis Qs=90,2kW, XB37H-1-30</t>
  </si>
  <si>
    <t>Ventilācijas plākšņu siltummainis Qs=4,9kW, XB06L-1-8</t>
  </si>
  <si>
    <t>Apkures ūdens plākšņu siltummainis  Qs=30,9 kW, XB20-1-16</t>
  </si>
  <si>
    <t>Procesors (apkurei, k.ūd., ventilācija )ECL 310 (A376)</t>
  </si>
  <si>
    <t>Regulēšanas vārsts (k. ūd.) VRG 2-20, Dn20 (k.ūd.)</t>
  </si>
  <si>
    <t>Izpildmehānisms (k.ūd.) AMV 435</t>
  </si>
  <si>
    <t>Regulēšanas vārsts (apk.) VRG 2-15, Dn15 (apk)</t>
  </si>
  <si>
    <t>Regulēšanas vārsts (vent) VRG 2-15, Dn15 (apk)</t>
  </si>
  <si>
    <t>Ūdens temperatūras sensors (virsmas) ESM 11</t>
  </si>
  <si>
    <t>Ūdens temperatūras sensors (iegremdējamais) ESMU</t>
  </si>
  <si>
    <t>Karstā ūdens cirkulācijas sūknis Alpha 1 20-60 130     G=0,4m3/h; H=3.5m</t>
  </si>
  <si>
    <t>Apkures cirkulācijas sūknis Alpha 2 25-80 130       G=1,36m3/h; H=3,2m</t>
  </si>
  <si>
    <t>Ventilācijas cirkulācijas sūknis Alpha 2 15-60 130         G=0,21m3/h; H=2,2m</t>
  </si>
  <si>
    <t>Drošības vārsts 3/4" 10 bar</t>
  </si>
  <si>
    <t>Drošības vārsts 3/4" 4 bar</t>
  </si>
  <si>
    <t>Ūdens mērītājs 0...900C 1,5 m3/h</t>
  </si>
  <si>
    <t>Ūdens mērītājs 0...400C 1,5 m3/h</t>
  </si>
  <si>
    <t>Izplešanās tvertne apkures sistēmai V=100L; P=4bar</t>
  </si>
  <si>
    <t>Lodveida krāns DN 32</t>
  </si>
  <si>
    <t>Lodveida krāns DN 25</t>
  </si>
  <si>
    <t>Lodveida krāns DN 20</t>
  </si>
  <si>
    <t>Lodveida krāns DN 15</t>
  </si>
  <si>
    <t>Spiediena redukcijas vārsts 11 BIS</t>
  </si>
  <si>
    <t>Solenoidvārsts ar spiediena devēju EV220B + Kp35</t>
  </si>
  <si>
    <t>Manometra krāns Dn 15</t>
  </si>
  <si>
    <t>Vienvirziena vārsts DN25</t>
  </si>
  <si>
    <t>Vienvirziena vārsts DN32</t>
  </si>
  <si>
    <t>Vītņu sietiņfiltrs  Dn 25</t>
  </si>
  <si>
    <t>Vītņu sietiņfiltrs Dn 32</t>
  </si>
  <si>
    <t>Tehniskais termometrs 0-100°C</t>
  </si>
  <si>
    <t>Iztukšošanas ventilis ar uzgali Dn20</t>
  </si>
  <si>
    <t>Automātiskais atgaisotājs ar noslēgvārstu Dn20</t>
  </si>
  <si>
    <t>Kapara caurule Ø12X1,0</t>
  </si>
  <si>
    <t>Stikla vates čaulas Ultimate U protect 1000S Alu 2 60x30mm</t>
  </si>
  <si>
    <t>Stikla vates čaulas Ultimate U protect 1000S Alu 2 35x20mm</t>
  </si>
  <si>
    <t>Stikla vates čaulas Ultimate U protect 1000S Alu 2 28x20mm</t>
  </si>
  <si>
    <t>Gruntējuma GF 021 viena kārta</t>
  </si>
  <si>
    <t>Esošā siltummezgla demontāža, pārvietošanas un montāža</t>
  </si>
  <si>
    <t>Pieslēgšanās esošajam siltummezglam</t>
  </si>
  <si>
    <t>Elektrometināti tērauda cauruļu veidgabali</t>
  </si>
  <si>
    <t>Cauruļu stiprinājumi</t>
  </si>
  <si>
    <t>Marķēšanas materiāli,palīgmateriāli</t>
  </si>
  <si>
    <t>Elektrokomutācijas kabeļu komplekts</t>
  </si>
  <si>
    <t>Sistēmas skalošana un pārbaude,palaišana</t>
  </si>
  <si>
    <t>18-L.c</t>
  </si>
  <si>
    <t>Iekšējā elekroinstlācija -montāžas,palaišanas,pārbaudes darbi</t>
  </si>
  <si>
    <t>A</t>
  </si>
  <si>
    <t>Sadalnes(ar komplekt.)</t>
  </si>
  <si>
    <t>1</t>
  </si>
  <si>
    <t>Sadalne.z/a., IP32 48mod Pragma SS1</t>
  </si>
  <si>
    <t>3</t>
  </si>
  <si>
    <t>Sadalne.z/a., IP32 48mod Pragma SS2</t>
  </si>
  <si>
    <t>Sadalne.z/a., IP32 24mod Pragma AS1</t>
  </si>
  <si>
    <t>5</t>
  </si>
  <si>
    <t>Sadalne.z/a., IP32 24mod Pragma AS2</t>
  </si>
  <si>
    <t>6</t>
  </si>
  <si>
    <t>7</t>
  </si>
  <si>
    <t>9</t>
  </si>
  <si>
    <t>Sadalne.z/a., IP44 24mod Pragma ŪKS-1</t>
  </si>
  <si>
    <t>10</t>
  </si>
  <si>
    <t>Sadalne.v/a., IP65 E90 EV</t>
  </si>
  <si>
    <t>11</t>
  </si>
  <si>
    <t>Aprīkota sadalnes, ar 1gab. 3f kontaktligzdām 16 A un 4 gab 1f kontaktligzdām 16A Kaedra PS 1</t>
  </si>
  <si>
    <t>12</t>
  </si>
  <si>
    <t>UPS 400/230V 8kVA MS</t>
  </si>
  <si>
    <t>13</t>
  </si>
  <si>
    <t>kWh skaitītājs 3-f 100A, 380V  Acti9 iME1zr</t>
  </si>
  <si>
    <t>14</t>
  </si>
  <si>
    <t>Digitālais laika un krēslas slēdzis, 7d 1CO IC Astro Acti9</t>
  </si>
  <si>
    <t>15</t>
  </si>
  <si>
    <t>Sadalnes slēdzene</t>
  </si>
  <si>
    <t>16</t>
  </si>
  <si>
    <t>B</t>
  </si>
  <si>
    <t>Gaismekļi</t>
  </si>
  <si>
    <t>Gaismeklis 280W LED 4000K 13500lm,  piekārts, ar akumulatoru 1h, COMPACT HIGH BAY LED 230 W vai analogs</t>
  </si>
  <si>
    <t>Gaismeklis 22,2W LED 3000K 595x595, IP20, ar PMMA stiklu , iebūvēts griestos, DALI</t>
  </si>
  <si>
    <t>Gaismeklis 37W LED 3000K 595x595, IP20, ar PMMA stiklu , iebūvēts griestos, DALI</t>
  </si>
  <si>
    <t>Gaismeklis 40W LED 3000K 595x595, IP20, ar PMMA stiklu , iebūvēts griestos, DALI</t>
  </si>
  <si>
    <t>Gaismeklis 46W LED 3000K 1200x300, IP50, ar PMMA aizsargstiklu , virs apmetuma,</t>
  </si>
  <si>
    <t>Gaismeklis Industriālais LED  46W 1500x100mm 4400lm, 4000K(v/a), IP65 Vizulo STONE vai analogs</t>
  </si>
  <si>
    <t>Gaismeklis, prožektors  LED  30W, ārtipa IP65, ar sensoru. Steinel XLED 10. 4000K</t>
  </si>
  <si>
    <t>17</t>
  </si>
  <si>
    <t>18</t>
  </si>
  <si>
    <t>19</t>
  </si>
  <si>
    <t>C</t>
  </si>
  <si>
    <t>Apgaismojuma komutācija</t>
  </si>
  <si>
    <t>Herm.slēdzis,10A, v.a., IP 44,Altira</t>
  </si>
  <si>
    <t>Herm. 2 polu slēdzis, 10A, v.a. IP 44,Altira</t>
  </si>
  <si>
    <t>Slēdzis, 10A, z.a. ar kārbu IP 20</t>
  </si>
  <si>
    <t>2 polu slēdzis, 10A, z.a. ar kārbu IP 20</t>
  </si>
  <si>
    <t>Pārslēdzis 10A, v.a. IP 44,</t>
  </si>
  <si>
    <t>Touch Dim DALI Rotary dimmeris</t>
  </si>
  <si>
    <t>Klātbūtnes sensors, augstfrekvences Steinel,  HF 360</t>
  </si>
  <si>
    <t>Klātbūtnes sensors, augstfrekvences Steinel, DUAL HF</t>
  </si>
  <si>
    <t>Savienojumi</t>
  </si>
  <si>
    <t>Herm. Kārba, vadu savienoj. IP44</t>
  </si>
  <si>
    <t>D</t>
  </si>
  <si>
    <t>Kabeļi/ kabeļu aizsardzība</t>
  </si>
  <si>
    <t>Kabelis NYY-J 5x10</t>
  </si>
  <si>
    <t>Kabelis NYY-J 5x6</t>
  </si>
  <si>
    <t>Kabelis NYY-J 5x4</t>
  </si>
  <si>
    <t>Kabelis NYY-J 5x2,5</t>
  </si>
  <si>
    <t>Kabelis PPJ-5x4</t>
  </si>
  <si>
    <t>Kabelis PPJ-5x2,5</t>
  </si>
  <si>
    <t>Kabelis PPJ-4x2.5</t>
  </si>
  <si>
    <t>Kabelis PPJ-3x2.5</t>
  </si>
  <si>
    <t>Kabelis PPJ-5x1.5</t>
  </si>
  <si>
    <t>20</t>
  </si>
  <si>
    <t>Kabelis PPJ-4x1.5</t>
  </si>
  <si>
    <t>21</t>
  </si>
  <si>
    <t>Kabelis PPJ-3x1.5</t>
  </si>
  <si>
    <t>22</t>
  </si>
  <si>
    <t>Kabelis PPJ-2x1.5</t>
  </si>
  <si>
    <t>Gofrēta Aizsargcaurule 32 mm</t>
  </si>
  <si>
    <t>Gofrēta Aizsargcaurule 20 mm</t>
  </si>
  <si>
    <t>Gofrēta Aizsargcaurule 16 mm</t>
  </si>
  <si>
    <t>Gludsienu PE aizsargcaurule D=20mm</t>
  </si>
  <si>
    <t>PVC kabeļkanāls 40x20</t>
  </si>
  <si>
    <t>Stiprinājumi/savilces/marķieri</t>
  </si>
  <si>
    <t>E</t>
  </si>
  <si>
    <t>Elektroietaises</t>
  </si>
  <si>
    <t>Kontaktligzda ar zem., ar bērnu aizsardzību,16A,z.a ar kārbu IP20,</t>
  </si>
  <si>
    <t>Kontaktligzda , ar nosegvāku 16A, v.a. ar kārbu IP44</t>
  </si>
  <si>
    <t>Kontaktligzda z/a 3P+N+E 400V 16A IP44</t>
  </si>
  <si>
    <t>Herm.kārba IP 44</t>
  </si>
  <si>
    <t>Apgaismojuma kabeļu rene 40x70,MEK 70</t>
  </si>
  <si>
    <t>Zn Kabeļu rene  60x200 ar atdalošu starpsienu</t>
  </si>
  <si>
    <t>Zn Kabeļu rene  60x300 ar atdalošu starpsienu</t>
  </si>
  <si>
    <t>Zn Kabeļu rene  60x500 ar atdalošu starpsienu</t>
  </si>
  <si>
    <t>Kabeļu plaukta Pagrieziens 90 grādi 300</t>
  </si>
  <si>
    <t>Kabeļu plaukta Pagrieziens 90 grādi 300/200</t>
  </si>
  <si>
    <t>Kabeļu plaukta Pagrieziens  500/300</t>
  </si>
  <si>
    <t>Kabeļu plaukta Pāreja  200/100</t>
  </si>
  <si>
    <t>Kabeļu plaukta T veida savienojums 300/300/200</t>
  </si>
  <si>
    <t>Kabeļreņu stiprinājumi</t>
  </si>
  <si>
    <t>l</t>
  </si>
  <si>
    <t>Slēdžu, kontaktligzdu rāmīši,Schneider electric</t>
  </si>
  <si>
    <t>Kabeļa gala apdare 5x10</t>
  </si>
  <si>
    <t>Kabeļa gala apdare 5x6</t>
  </si>
  <si>
    <t>23</t>
  </si>
  <si>
    <t>Kabeļa gala apdare 5x4</t>
  </si>
  <si>
    <t>24</t>
  </si>
  <si>
    <t>Zibensaizsardzība,zemējums</t>
  </si>
  <si>
    <t>Zemējuma stieple Ø10mm</t>
  </si>
  <si>
    <t>Zemējuma stieple Ø8mm</t>
  </si>
  <si>
    <t>Mērījumu klemme</t>
  </si>
  <si>
    <t>Potenciālu izlīdzinošā kopne Ø8-10mm/30x5mm . PVC korpusā</t>
  </si>
  <si>
    <t>Zemējuma stienis Ø20mm 1.5m ar šlicēm A-tips, c. tērauda</t>
  </si>
  <si>
    <t>Pievienoj. Klemme apaļdzelzs/apaļdzelzs</t>
  </si>
  <si>
    <t>Izplešanās elements,Cu, 16 mm², 300 mm</t>
  </si>
  <si>
    <t>Pievienoj. Klemme apaļdzelzs/plakandzekzs</t>
  </si>
  <si>
    <t>Pievienoj. Klemme ar noteku</t>
  </si>
  <si>
    <t>Stieples turētājs H=15mm Niro Clip, ner. Tērauda</t>
  </si>
  <si>
    <t>Zemējuma stieņa spice TE20, 20mm tips A, BP</t>
  </si>
  <si>
    <t>Pārsprieguma noved. V50-B+C 3 (I + II klase)</t>
  </si>
  <si>
    <t>Pārsprieguma noved. V50-C 3  II klase</t>
  </si>
  <si>
    <t>Vads H07V-K 1x50mm²</t>
  </si>
  <si>
    <t>Vads H07V-K 1x10mm²</t>
  </si>
  <si>
    <t>Vads H07V-K 1x6mm²</t>
  </si>
  <si>
    <t>1024 -Pretkorozijas lenta 50mm/10m 1</t>
  </si>
  <si>
    <t>19-L.c</t>
  </si>
  <si>
    <t>Telefonu, datoru UN TV tūkla sistēma 1.kārta (1.stāvs,pagrabstāvs)--montāžas,palaišanas darbi</t>
  </si>
  <si>
    <t>Datu tīkls</t>
  </si>
  <si>
    <t>Sadales skapis 19" 12Uu</t>
  </si>
  <si>
    <t>Sadales panelis 24 portu UTP Cat5</t>
  </si>
  <si>
    <t>Switch 24 portu (24-Port 10/100BaseT/TX Stackable Managed Switch + 2 SFP/RJ-45 Ports)Signamax</t>
  </si>
  <si>
    <t>Wi-Fi piekļuves punkts TL-WA901ND</t>
  </si>
  <si>
    <t>Ventilatoru panelis 2 vent, ar termostatiem</t>
  </si>
  <si>
    <t>Barošanas panelis 19", 6-viet.</t>
  </si>
  <si>
    <t>Zemējuma komplekts POT10</t>
  </si>
  <si>
    <t>19" LSA moduļu turētājs TLD1U</t>
  </si>
  <si>
    <t>Krone LSA 10 pāru CM-0110 PBT</t>
  </si>
  <si>
    <t>Komutācijas skapis ETI 24 viet. plastmasas, zemapmetuma</t>
  </si>
  <si>
    <t>Datu/ telefona rozete 2xRJ45, UTP Cat 5e, zemapmetuma</t>
  </si>
  <si>
    <t>Datu rozete RJ45, UTP Cat 5e</t>
  </si>
  <si>
    <t>Kabelis UTP 4x2x0,5 24 AWG Cat5e</t>
  </si>
  <si>
    <t>m.</t>
  </si>
  <si>
    <t>Kabelis UTP 4x2x0,5 24 AWG Cat5eoutdoor</t>
  </si>
  <si>
    <t>Gofreta caurule d25, āra</t>
  </si>
  <si>
    <t>PVC caurule d25</t>
  </si>
  <si>
    <t>PVC caurule d16</t>
  </si>
  <si>
    <t>Gofreta caurule d50</t>
  </si>
  <si>
    <t>Ugunsturīgs blīvējuma materiāls</t>
  </si>
  <si>
    <t>Instalācijas materiali</t>
  </si>
  <si>
    <t>kts</t>
  </si>
  <si>
    <t>Izpilddokumentācija</t>
  </si>
  <si>
    <t>TV tīkls</t>
  </si>
  <si>
    <t>Antenu masts 3m d=42</t>
  </si>
  <si>
    <t>Masta kronšteini</t>
  </si>
  <si>
    <t>Blīvgumija</t>
  </si>
  <si>
    <t>TV UHF antena</t>
  </si>
  <si>
    <t>SAT antena</t>
  </si>
  <si>
    <t>SAT uztvērējs Vu+ Uno</t>
  </si>
  <si>
    <t>LNB Inverto cirkular quattro</t>
  </si>
  <si>
    <t>SAT signāla slēdzis MSE5800</t>
  </si>
  <si>
    <t>TV signāla pastiprinātājs HA 126</t>
  </si>
  <si>
    <t>Komutācijas skapis 4500x3000x150 plastmasas, virsapmetuma</t>
  </si>
  <si>
    <t>SAT/TV/R rozete FD6</t>
  </si>
  <si>
    <t>Kabelis RG6 SAT/TV/F 17-19 dB/100m</t>
  </si>
  <si>
    <t>Apsardzes signalizācijas sistēma 1.kārta --montāžas,palaišanas darbi</t>
  </si>
  <si>
    <t>AS kontrolpanelis DSC "PC1864"</t>
  </si>
  <si>
    <t>Zonu paplašinātājs DSC "PC5108"</t>
  </si>
  <si>
    <t>Vad īb ās klaviatura DSC "PK 5501 LCD"</t>
  </si>
  <si>
    <t>Vad īb ās klaviatura DSC "PK 5500 LCD"</t>
  </si>
  <si>
    <t>Barošanas bloks "TS-138N" 2A, 12vdc</t>
  </si>
  <si>
    <t>Komutācijas kārba P-7/40 290X320X75</t>
  </si>
  <si>
    <t>T ransformators 45/002</t>
  </si>
  <si>
    <t>Akumulatoru baterija 12V/7Ah</t>
  </si>
  <si>
    <t>Kustības detektors LC 100 PI</t>
  </si>
  <si>
    <t>Kombinetajs detektors "FLASH"</t>
  </si>
  <si>
    <t>Detektoru kronšteins</t>
  </si>
  <si>
    <t>Durvjuherkons metāla durvim KA2071</t>
  </si>
  <si>
    <t>Durvju herkons SC517</t>
  </si>
  <si>
    <t>T rauksmes sirēna SL 150</t>
  </si>
  <si>
    <t>T rauksmes sirēna, ārā "MR300"</t>
  </si>
  <si>
    <t>Nozarkārba 5/8 kont. ar sab.slēdzi</t>
  </si>
  <si>
    <t>Kabelis CQR (4x0.22)</t>
  </si>
  <si>
    <t>Kabelis CQR (8x0.22)</t>
  </si>
  <si>
    <t>Kabelis MMJ 3x1.5</t>
  </si>
  <si>
    <t>PVC caurule d 16</t>
  </si>
  <si>
    <t>Instalacijas materiali</t>
  </si>
  <si>
    <t>Ugunsgrēka atklāšanas un trauksmes signalizācijas sistēma 1.kārta--montāžas,palaišanas darbi</t>
  </si>
  <si>
    <t>1. Iekārtas un materiali</t>
  </si>
  <si>
    <t>Adrešu US kontrolpanelis C-TEK 1 cilpas „XFP501K.X- XFP1loop”</t>
  </si>
  <si>
    <t>Adrešu US kontrolpaneļa atkārtotājs C-TEK 1 cilpas „XFP501K.X- XFP1loop”</t>
  </si>
  <si>
    <t>Adrešu optiskais dūmu detektors Apollo „XP95 55000-620”</t>
  </si>
  <si>
    <t>Adrešu optiskais dūmu detektors Apollo „XP95 55000-610”</t>
  </si>
  <si>
    <t>Pamatne XPERT Card AP95 45681-210 Apollo XPERT</t>
  </si>
  <si>
    <t>Pamatne/izolators XPERT Card AP9545681-284 XPERT</t>
  </si>
  <si>
    <t>Iznesamājs LED indikātors VUOS 01</t>
  </si>
  <si>
    <t>Detektoru aizsarggrēsts System Sensor DSK 070</t>
  </si>
  <si>
    <t>Adrešu rokas detektors/izolators ar karbu Apollo XP95 55000-2000908</t>
  </si>
  <si>
    <t>Adrešu vadībās modulis IN/OUT XP95 55000-875</t>
  </si>
  <si>
    <t>Ventilācijas blokeš. Relejs ESMI</t>
  </si>
  <si>
    <t>Trauksmes sirēna "AH03127B”</t>
  </si>
  <si>
    <t>Trauksmes sirēna ar strobspuldzi "AH03127BS”</t>
  </si>
  <si>
    <t>Akumulātoru baterija 12V/17Ah</t>
  </si>
  <si>
    <t>Ugunsturīgs blīvejuma materiāls</t>
  </si>
  <si>
    <t>2. KABEĻU MONTAŽAS MATERIĀLI</t>
  </si>
  <si>
    <t>Kabelis JE-E(ST) FE180/E30 1x2x0.8</t>
  </si>
  <si>
    <t>Kabelis Eurosafe FE180/E30 2x1.0</t>
  </si>
  <si>
    <t>Kabelis ELAN FIRE FE180/E30 2x2x0.8+E</t>
  </si>
  <si>
    <t>Kabelis (N)NXH(ST)Hb FE180/E30 3x1,5</t>
  </si>
  <si>
    <t>PVC caurule d 20</t>
  </si>
  <si>
    <t>PVC caurule d 50</t>
  </si>
  <si>
    <t>Balss trauksmes izziņošanas sistēma</t>
  </si>
  <si>
    <t>Kontrolieris Plena Bosch LBB 1990/00 ierīkošana</t>
  </si>
  <si>
    <t>Pastiprinātājs LBB1935/20 PLENA POWER AMPLIFIER 360/240W, EVAC COMPLIANT</t>
  </si>
  <si>
    <t>Atkārtotājs Fireman LBB1905/00</t>
  </si>
  <si>
    <t>Mikrofons ar vad ības klaviatūru 6 zonām Plena Bosch LBB 1956/00</t>
  </si>
  <si>
    <t>Rezerves bateriju modulis 24 V DC PLN-24CH10</t>
  </si>
  <si>
    <t>Akumulators 12V 65Ah SBL65-12i</t>
  </si>
  <si>
    <t>Līnijas kontroles modulis PLN-1EOL ar karbu</t>
  </si>
  <si>
    <t>Skapis 19" 16U 600*600*1087 4WM6622.900</t>
  </si>
  <si>
    <t>Barošanas panelis 19" 9viet</t>
  </si>
  <si>
    <t>Zemējuma kompl. POT 10</t>
  </si>
  <si>
    <t>Plaukts</t>
  </si>
  <si>
    <t>Sienas skaļrunis LB1-UW06-Fx 1.5W-3W-6W/70v 6W</t>
  </si>
  <si>
    <t>Sienas ska ļrunis LB1-CW06-D 3W-6W-12W/70v 6W</t>
  </si>
  <si>
    <t>Griestu ska ļrunis LBC3951/111.5W-3W-6W/70v 6W</t>
  </si>
  <si>
    <t>Griestu ska ļruņa metāla k ārba ar EVAC LBC3081/02</t>
  </si>
  <si>
    <t>EVAC LBC 1256/00</t>
  </si>
  <si>
    <t>Kabelis JE-H(St)H FE-180/E30 1x2x0.8</t>
  </si>
  <si>
    <t>Kabelis FTP 4x2x0.5 cat5e</t>
  </si>
  <si>
    <t>(N)HXH(ST) FE180/E30 3x2,5</t>
  </si>
  <si>
    <t>PVC caurule d20</t>
  </si>
  <si>
    <t>PVC caurule d50</t>
  </si>
  <si>
    <t>L.c.</t>
  </si>
  <si>
    <t>Videonovērošanas sistēma  1.kārta-montāžas,palaišanas darbi</t>
  </si>
  <si>
    <t>DVR "3R PRESTIGE 16CH" 16 Video, 16 Audio Kompresija H.264;Max Ieraksta Izšķirtspēja 720x576;Real-Time Ieraksta Ātrums: 400 fps (CIF);HDDx2 (līdz 1.5TB); Izvēlne latviešu, krievu valod ā</t>
  </si>
  <si>
    <t>Cietais disks 2TB SATA 64MB</t>
  </si>
  <si>
    <t>UPS 1500V/A "NRT 1000-PR"; 19"</t>
  </si>
  <si>
    <t>Barošanas bloks 10A 12vdc "TP-PSC9CH"</t>
  </si>
  <si>
    <t>Monitors 22" IPS LED</t>
  </si>
  <si>
    <t>Krāsaina videokamera "HD-AM1890HTL" 1/3" Sony Super 1/3 1.3Mega Sony Exmor Sensor 1000 TVL, 2.8-12mm Min. Illum 0 Lux (IR LED ON) 3D DNR, WDR, BLC, AWB, IP67 DC</t>
  </si>
  <si>
    <t>Krāsaina kupola videokamera "HD-AM156VTL" 1/3" 1.3Mp (1000TVL) Sony Exmor Sensor 2.8-12mm Varifocal lens Min. Illum: 0Lux (IR LED ON) ICR, 3D DNR, OSD, BLC, WDR, IP67, DC 12V</t>
  </si>
  <si>
    <t>Komutācijas kārba S Box</t>
  </si>
  <si>
    <t>TP016 Vītā p āra uztv ērējs Video: 16. Spilgtuma un spožuma regulēšāna.</t>
  </si>
  <si>
    <t>TTP111VE Vītā p āra p ārveidotājs</t>
  </si>
  <si>
    <t>UPS NETYS "NET 1000-PR"</t>
  </si>
  <si>
    <t>BNC konektors</t>
  </si>
  <si>
    <t>12 vdc konektors</t>
  </si>
  <si>
    <t>Kabelis RG59</t>
  </si>
  <si>
    <t>Kabelis UTP 4x2x0.5 Cat5e</t>
  </si>
  <si>
    <t>Sp ēka kabelis NYM 2x1.0</t>
  </si>
  <si>
    <t>Sp ēka kabelis NYM 3x1,5</t>
  </si>
  <si>
    <t>PVC caurule d 25</t>
  </si>
  <si>
    <t>KONE Motala 2000 lifts, komplektā ar šahtu, durvīs metāla ar stikliem, šahtas nožogojums metāla paneļi,</t>
  </si>
  <si>
    <t>kpl.</t>
  </si>
  <si>
    <t>Lifts</t>
  </si>
  <si>
    <t>Čuguna ūdensvada caurules veidgabali</t>
  </si>
  <si>
    <t>Uzksaites mezgls DN25</t>
  </si>
  <si>
    <t>Uzksaites mezgls DN20</t>
  </si>
  <si>
    <t>Izolācija Armacell TUBOLIT DG TL-64/20-DG, grūti degoša</t>
  </si>
  <si>
    <t>Tauku atdālītāji zem iezlietnēm skolas ēkā, virtuvē</t>
  </si>
  <si>
    <t>Nerūsējošā tērauda izlietne, komplektā ar sifonu, stiprinājumiem, maisītājkrānu (Mg)</t>
  </si>
  <si>
    <t>31-L.c.</t>
  </si>
  <si>
    <t>Objekta nospraušana un nostiprināšana dabā</t>
  </si>
  <si>
    <t>02-L.c.</t>
  </si>
  <si>
    <t>Esošo ceļu seguma demontāža zemesgabala robežās,transportējot uz atbērtni</t>
  </si>
  <si>
    <t>Esošo betona apmaļu demontāža,transportējot uz atbērtni</t>
  </si>
  <si>
    <t>Šķembu un smilts pamatojuma demontāža vid. 40cm, ar izvešanu uz izgāztuvi</t>
  </si>
  <si>
    <t>Koku zāģēšana,celmu laušana un transportāšana uz atbērtni</t>
  </si>
  <si>
    <t>Zemes klātne</t>
  </si>
  <si>
    <t>Gultnes sagatavošana ceļiem un laukumiem,lieko grunti aizvedot uz atbērtni</t>
  </si>
  <si>
    <t>m2</t>
  </si>
  <si>
    <t>Laukumu planēšana</t>
  </si>
  <si>
    <t>Ceļi un laukumi</t>
  </si>
  <si>
    <t>Betona bruģakmens segums</t>
  </si>
  <si>
    <t>Salizturīgā dren.smilts slāņa kf=1m/dnn izbūve  h=30 cm</t>
  </si>
  <si>
    <t>m³</t>
  </si>
  <si>
    <t>Dolomīta šķembu maisījuma 20/40 izbūve  h=15cm</t>
  </si>
  <si>
    <t>Smilts izlīdzinošās kārtas izbūve  h=5cm</t>
  </si>
  <si>
    <t>Betona bruģakmens seguma izbūve 180x120x80 mm</t>
  </si>
  <si>
    <t>Asfaltbetona segums-jaunizbūvējams</t>
  </si>
  <si>
    <t>Salizturīgā dren.smilts slāņa kf=1m/dnn izbūve  h=50 cm</t>
  </si>
  <si>
    <t>Dolomīta šķembu maisījuma 0/45 izbūve  h=25cm</t>
  </si>
  <si>
    <t>Asfaltbetona seguma ACb 22(base bin))apakškārtas izbūve-6 cm</t>
  </si>
  <si>
    <t>Asfaltbetona seguma AC 16 virskārtas izbūve-4 cm</t>
  </si>
  <si>
    <t>Asfaltbetona segums- esošais remontējams</t>
  </si>
  <si>
    <t>Esošā asfaltbetona frēzēšana</t>
  </si>
  <si>
    <t>Betona apmales</t>
  </si>
  <si>
    <t>Ceļa betona apmaļu 1000x220x150 mm uzstādīšana uz betona pamatnes</t>
  </si>
  <si>
    <t>Ietves betona apmaļu 1000x200x80 mm  uzstādīšana uz betona pamatnes</t>
  </si>
  <si>
    <t>Apzaļumošana</t>
  </si>
  <si>
    <t>Zālāji ar melnzemes kārtu 15 cm ierīkošana</t>
  </si>
  <si>
    <t>Pastiprināta zālāja ierīkošana skat. GP-1-6</t>
  </si>
  <si>
    <t>Projektēto koku stādījumu ierīkošana</t>
  </si>
  <si>
    <t>Klājeniskai s kadiķis "Andora compact"</t>
  </si>
  <si>
    <t>Parastais kadiķis</t>
  </si>
  <si>
    <t>Klājeniskais kadiķis "Blue moon"</t>
  </si>
  <si>
    <t>Parastā egle h=0,6m</t>
  </si>
  <si>
    <t>Kanādas egle h=1-1,2m</t>
  </si>
  <si>
    <t>Minerālmēslojums, augsne, mulča u.c.</t>
  </si>
  <si>
    <t>Aprīkojums</t>
  </si>
  <si>
    <t>Horizontālais marķējums autonovietnes vietu apzīmēšanai ar termoplastu</t>
  </si>
  <si>
    <t xml:space="preserve">Horizontālais marķējums Nr 942 </t>
  </si>
  <si>
    <t>Ūdensvada pārslegšana īpašumam Dambja ielā 17</t>
  </si>
  <si>
    <t>Ienākošā spiedvada pārslēgšana uz aku K1-11</t>
  </si>
  <si>
    <t>Esošas sadzīves kanalizācijas tvertnes demontāža vai aizbēršana</t>
  </si>
  <si>
    <t>05-L.c</t>
  </si>
  <si>
    <t>Esošās ķeta caurules gala aizbetonēšana</t>
  </si>
  <si>
    <r>
      <t>m</t>
    </r>
    <r>
      <rPr>
        <vertAlign val="superscript"/>
        <sz val="10"/>
        <rFont val="Arial"/>
        <family val="2"/>
        <charset val="186"/>
      </rPr>
      <t>2</t>
    </r>
  </si>
  <si>
    <t>Kanalizācijas pārsūknēšanas sūkņu stacija no dzelzbetona grodiem H=2,88m komplektā ar sūķniem, tērauda vadulēm, ķēdi sūkņa pacelšanai, apkalpes tiltiņu, kāpnēm, utt.</t>
  </si>
  <si>
    <t>Siltumtīklu ultraskaņas pārbaude</t>
  </si>
  <si>
    <t>22-L.c</t>
  </si>
  <si>
    <t>Teritorijas labiekārtošana</t>
  </si>
  <si>
    <t>Drošinātāju uzstādīšana</t>
  </si>
  <si>
    <t>Automātslēdža demontāža sadalnē</t>
  </si>
  <si>
    <t>Elektroenerģijas skaitītāja demontāža</t>
  </si>
  <si>
    <t>Drošinātājs NH-2 125A</t>
  </si>
  <si>
    <t>Naži NH-2</t>
  </si>
  <si>
    <t>Iekškvartālu ceļu un gājēju zonas asfalta atjaunošana</t>
  </si>
  <si>
    <t>Atkritumu konteineru uzstādīšana E1</t>
  </si>
  <si>
    <t>Velostatīva uzstādīšana E2</t>
  </si>
  <si>
    <t>Pagaidu 2 viru (3m) vārtu montāža,demontāža</t>
  </si>
  <si>
    <t>Pagaidu 1 viru (1m) vārtu montāža,demontāža</t>
  </si>
  <si>
    <t>Metāla konteinera inventāram l=3m uzstādīšana ar autoceltni;noma 7 mēm</t>
  </si>
  <si>
    <t>Pārvietojamās tualetes uzstādīšana,noma 7 mēn</t>
  </si>
  <si>
    <t>Objekta apsardze izmaksas</t>
  </si>
  <si>
    <t>Būvniecības objekta izkārtnes izgatavošana, uzstādīšana</t>
  </si>
  <si>
    <t>Ugunsdzēsības stenda  izgatavošana, uzstādīšana</t>
  </si>
  <si>
    <t>Drošības zīmju un uzrakstu  izgatavošana, uzstādīšana</t>
  </si>
  <si>
    <t>Būvass nospraušana</t>
  </si>
  <si>
    <t>Pagaidu laukuma apgaismojuma ierīkošana-3 prožektori+kabelis</t>
  </si>
  <si>
    <t>Materiālu nokraušanas laukuma no šķembām 20cm biezumā ierīkošana</t>
  </si>
  <si>
    <t>Demontāžas darbi</t>
  </si>
  <si>
    <t>Katlu māja</t>
  </si>
  <si>
    <t>Lentveida pamatu demontāža (b=4 cm)</t>
  </si>
  <si>
    <t>Ārsienu ķieģeļu mūra (0.51 cm) demontāža</t>
  </si>
  <si>
    <t>Mūra skursteņa nojaukšana, ieskaitot sastatņu montāžu-demontāžu</t>
  </si>
  <si>
    <t>Logu, durvju un vārtu dzelzsbetona pārsedžu demontāža</t>
  </si>
  <si>
    <t>Logu bloku demontāža, ieskaitot skārda palodzes</t>
  </si>
  <si>
    <t>Durvju bloku demontāža</t>
  </si>
  <si>
    <t>Vārtu demontāža</t>
  </si>
  <si>
    <t>Ķieģeļu starpsienu demontāža (12 cm)</t>
  </si>
  <si>
    <t>Ķieģeļu starpsienu demontāža (25 cm)</t>
  </si>
  <si>
    <t>Grīdas pamatojuma (šķembu, grants) izņemšana</t>
  </si>
  <si>
    <t>Betona grīdas demontāža (10 cm)</t>
  </si>
  <si>
    <t>Flīžu grīdas segumu demontāža</t>
  </si>
  <si>
    <t>Dēļu grīdas segumu demontāža</t>
  </si>
  <si>
    <t>Riboto dzelzsbetona pārsegumu paneļu demontāža (3x6 m)-48,6 m³</t>
  </si>
  <si>
    <t>Dobo dzelzsbetona pārsegumu plātņu demontāža (1.2x6 m)</t>
  </si>
  <si>
    <t>Jumta siltumizolācijas gāzbetona slāņa demontāža (12 cm)</t>
  </si>
  <si>
    <t>Jumta keramzīta izlīdzinošā slāņa demontāža (22 cm)</t>
  </si>
  <si>
    <t>Jumta betona izlīdzinošā slāņa demontāža (6cm)</t>
  </si>
  <si>
    <t>Jumta 4 kārtas ruberoīda seguma noņemšana</t>
  </si>
  <si>
    <t>Ēkas betona apmales un lieveņu demontāža</t>
  </si>
  <si>
    <t>Logu tērauda restu noņemšana</t>
  </si>
  <si>
    <t>Dzegu, parapetu skārda elementu noņemšana</t>
  </si>
  <si>
    <t>Ūdensnoteksistēmu skārda elementu noņemšana</t>
  </si>
  <si>
    <t>Tērauda siju un rāmju demontāža drēbju žāvēšanas skapim</t>
  </si>
  <si>
    <t>Drēbju žāvējamo skapju demontāža</t>
  </si>
  <si>
    <t>Radiatoru (konvektoru) demontāža</t>
  </si>
  <si>
    <t>Ventilācijas cauruļvadu un šahtu demontāža</t>
  </si>
  <si>
    <t>Siltummezgla iekārtu un cauruļvadu demontāža</t>
  </si>
  <si>
    <t>Gāzes vada demontāža (26.0 m)</t>
  </si>
  <si>
    <t>Zemes darbi pie gāzes vadu demontāžas</t>
  </si>
  <si>
    <t>Bērza nozāģēšana ( Ø 40 cm), ieskaitot celma izrakšanu</t>
  </si>
  <si>
    <t>Augļu koku izzāģēšana, ieskaitot celmu izrakšanu</t>
  </si>
  <si>
    <t>Dažādi demontāžas darbi</t>
  </si>
  <si>
    <t>c/h</t>
  </si>
  <si>
    <t>Būvgružu savākšana,aizvešana uz atbērtni (ar irdenuma koef.1,6) līdz 15 km attālumam</t>
  </si>
  <si>
    <t>Konteineru noma</t>
  </si>
  <si>
    <t>Internātskolas gala siena</t>
  </si>
  <si>
    <t>Ēdienu atkritumu nojumes pamatu demontāža</t>
  </si>
  <si>
    <t>Ēdienu atkritumu nojumes mūra sienu nojaukšana</t>
  </si>
  <si>
    <t>Ēdienu atkritumu nojumes jumta konstrukcijas nojaukšana</t>
  </si>
  <si>
    <t>Ēdienu atkritumu nojumes betona grīdas demontāža</t>
  </si>
  <si>
    <t>Ēdienu atkritumu nojumes durvju bloku demontāža</t>
  </si>
  <si>
    <t>Ieejas dzelzsbetona jumtiņa demontāža</t>
  </si>
  <si>
    <t>Dzelzbetona balkonu demontāža</t>
  </si>
  <si>
    <t>Balkonu tērauda margu demontāža</t>
  </si>
  <si>
    <t>Fibo bloku aizmūrējuma demontāža balkonos (jaunu ailu izveidošanai)</t>
  </si>
  <si>
    <t>Mūra sienas daļas demontāža esošajā logu ailē (jaunu ailu izveidošanai)</t>
  </si>
  <si>
    <t>Ēkas apmales un betona lieveņu demontāža</t>
  </si>
  <si>
    <t>m3</t>
  </si>
  <si>
    <t>Grunts rakšana ar rokām</t>
  </si>
  <si>
    <t>Būvbedres un tranšejas aizbēršana ar buldozeru ar pievesto smilti pamatiem</t>
  </si>
  <si>
    <t>Būvbedres un tranšejas aizbēršana ar rokām ar pievesto smilti pamatiem</t>
  </si>
  <si>
    <t>Pamati</t>
  </si>
  <si>
    <t>Pāļu pamati BK-02</t>
  </si>
  <si>
    <t>Pāļu montāža 380/450;l=8000 mm,tehnikas mobilizācija,pāļu dinamiskā pārbaude,pāļu galu nociršana ,stiegrojuma sagatavošana režģoga betonēšanai betons C23/30 XC2=71m³;armat.d16=7660kg;armat.d12=2700 kg)</t>
  </si>
  <si>
    <t>Režģogi R-1(BK-03.DZK-24)</t>
  </si>
  <si>
    <t>Šķembu pamatojuma ierīkošana , blietēšana</t>
  </si>
  <si>
    <t>Šķembas fr.40/70</t>
  </si>
  <si>
    <t>Inventāro veidņu uzstādīšana,eļļošana  pamatiem un nojaukšana līdz 1 m augstumam,noma 14 dienas</t>
  </si>
  <si>
    <t>Veidņu īre</t>
  </si>
  <si>
    <t>konusi ,aizbāžņi, caurulītes, skrūves uc paligmateriāli</t>
  </si>
  <si>
    <t>Armtūras sietu izgatavošana ,uzstādīšana,fiksatoru uzstādīšana pamatiem. .Armatūras stiegru sagarināšanu,sasiešanu ar stiepli veic būvlaukumā,armatūra BST500B;starteru uzstādīšana.Garenvirzienā stiegras savienot ar pārlaidumu , kura garums ir 30 stiegras diametri.Enkurbultas uzstādīšana</t>
  </si>
  <si>
    <t>Armatūra BST500B  d=20</t>
  </si>
  <si>
    <t>Armatūra BST500B  d=12</t>
  </si>
  <si>
    <t>Enkurbultas E-1</t>
  </si>
  <si>
    <t>distanceri, armatūras sienamais materiāls, ieliekamās detaļas uc paligmateriāli</t>
  </si>
  <si>
    <t>Betona C12/15 (LVS EN 206-1) iestrādāšana pamatu konstrukcijās,novibrējot,betonu padod ar sūkni</t>
  </si>
  <si>
    <t>Betons C 12/15</t>
  </si>
  <si>
    <t>Sūknis</t>
  </si>
  <si>
    <t>h</t>
  </si>
  <si>
    <t>Betona C25/30(LVS EN 206-1) iestrādāšana pamatu konstrukcijās,novibrējot,betonu padod ar sūkni</t>
  </si>
  <si>
    <t>Betons C 25/30</t>
  </si>
  <si>
    <t>13-L.c</t>
  </si>
  <si>
    <t>Pamatu horuzontālā hidroizolācija ar hyperdesmo D-2k</t>
  </si>
  <si>
    <t>Cokola siltinājuma ierīkošana 400 mm</t>
  </si>
  <si>
    <t>Ekstrudētais putupolistirols 200 mm</t>
  </si>
  <si>
    <t>t.m.</t>
  </si>
  <si>
    <t>Ārsienas koka apšuvums un siltumizolācija</t>
  </si>
  <si>
    <t>08-L.c.</t>
  </si>
  <si>
    <t>Antiseptēta koka karkasa ierīkošana</t>
  </si>
  <si>
    <t>Koka bruses 95x45 mm</t>
  </si>
  <si>
    <t>Dībeļi, skrūves u.c.</t>
  </si>
  <si>
    <t>100gb</t>
  </si>
  <si>
    <t>13-L.c.</t>
  </si>
  <si>
    <t>Koka bruses 195x45 mm</t>
  </si>
  <si>
    <t>Vēja izolācijas ierīkošana</t>
  </si>
  <si>
    <t>Mūra darbi</t>
  </si>
  <si>
    <t>06-L.c.</t>
  </si>
  <si>
    <t>AEROC Eco Light</t>
  </si>
  <si>
    <t>Ailu aizmūrēšana ar ķieģeļiem esošā sienā</t>
  </si>
  <si>
    <t>tūkst.</t>
  </si>
  <si>
    <t>Starpsienas u.c.</t>
  </si>
  <si>
    <t>Gipškartona starpsienu karkasa (100mm) izbūve</t>
  </si>
  <si>
    <t>Knauf  blīvlenta 95/3.2 mm</t>
  </si>
  <si>
    <t>Knauf dībelis ''K'' 6/35</t>
  </si>
  <si>
    <t>CW profils 100x50x0.6</t>
  </si>
  <si>
    <t>Skrūves, stiprinājumi, palīgmateriāli</t>
  </si>
  <si>
    <t>Akmens vates (PAROC 100mm) iestrāde   karkasā siltuma / skaņas izolācijai</t>
  </si>
  <si>
    <t>Paroc UNS37-100mm  IL MUL*16 ;k=1,05</t>
  </si>
  <si>
    <t>Karkasu  apšūšana ar ģipškartonu (2kārtas)</t>
  </si>
  <si>
    <t>Knauf skrūves TN 25 mm gara</t>
  </si>
  <si>
    <t>Knauf skrūves TN 35 mm gara</t>
  </si>
  <si>
    <t>Ģipškartons parastais  GKB Knauf</t>
  </si>
  <si>
    <t>Karkasu  apšūšana ar mitrumizturīgo ģipškartonu (2kārtas)</t>
  </si>
  <si>
    <t>Ģipškartons mitrumizturīgais  GKBI Knauf</t>
  </si>
  <si>
    <t>Ģipškartons ugunsdrošais GKF Knauf</t>
  </si>
  <si>
    <t>Saliekamo WC, dušu šķērssienu  montāža</t>
  </si>
  <si>
    <t>Laminēts  mitrumizturīgs  KSP, monolīts  lamināts, profillīstes  anodēts  alumīnijs, ELTETE vai analogs</t>
  </si>
  <si>
    <t>Gipškartona starpsienu karkasa (50mm) izbūve cauruļvadu šahtu apšuvumam</t>
  </si>
  <si>
    <t>UW profils 50x40x0.6</t>
  </si>
  <si>
    <t>Knauf  blīvlenta 50/3.2 mm</t>
  </si>
  <si>
    <t>CW profils 50x50x0.6</t>
  </si>
  <si>
    <t>Karkasu  apšūšana ar ugunsdrošo ģipškartonu (2kārtas)  cauruļvadu šahtu apšuvumam</t>
  </si>
  <si>
    <t>Deformācijas šuves izveidošana sienā starp jaunbūvējamo un esošo ēku</t>
  </si>
  <si>
    <t>Putupolistirols 2 cm, metāla leķprofils 2 gb., palīgmateriāli</t>
  </si>
  <si>
    <t>Sienas (BK-04;05;10;11;MK)</t>
  </si>
  <si>
    <t>07-L.c</t>
  </si>
  <si>
    <t>Tērauda konstrukciju izgatavošana,piegāde,montāža ,montēt ar normālā precizētām 8.8 klases skrūvēm,piemetinot ieliekām detaļām,ieskaitot tērauda konstrukciju virsmu apstrādi</t>
  </si>
  <si>
    <t>Rāmis R-1</t>
  </si>
  <si>
    <t>Rāmis R-2</t>
  </si>
  <si>
    <t>100X100X4</t>
  </si>
  <si>
    <t>80x80x4</t>
  </si>
  <si>
    <t>150X150X4</t>
  </si>
  <si>
    <t>HEA 400</t>
  </si>
  <si>
    <t>HEA 300</t>
  </si>
  <si>
    <t>HEA 260</t>
  </si>
  <si>
    <t>Palīgmateriāli-skrūves,loksne,elektrodi u.c</t>
  </si>
  <si>
    <t>10-L.c.</t>
  </si>
  <si>
    <t>Metāla konstrukciju krāsošana ar ugunsdrošo krāsojumu, R=30min</t>
  </si>
  <si>
    <t>Krāsa Unitherm ASR</t>
  </si>
  <si>
    <t>Armtūras sietu izgatavošana ,uzstādīšana,fiksatoru uzstādīšana monolītām joslām,pārsedzēm. .Armatūras stiegru sagarināšanu,sasiešanu ar stiepli veic būvlaukumā,armatūra BST500B;starteru uzstādīšana.Garenvirzienā stiegras savienot ar pārlaidumu , kura garums ir 30 stiegras diametri.Enkurbultas uzstādīšana</t>
  </si>
  <si>
    <t>Armatūra BST500B  d=8</t>
  </si>
  <si>
    <t>Betona C25/30(LVS EN 206-1) iestrādāšana monolītām joslām,pārsedzēm,novibrējot,betonu padod ar sūkni</t>
  </si>
  <si>
    <t>Aeroc pārsedžu montāža</t>
  </si>
  <si>
    <t>Pārsedzes 1600X375X200</t>
  </si>
  <si>
    <t>Pārsedzes 2000x375x200</t>
  </si>
  <si>
    <t>Pārsedzes 2400x375x200</t>
  </si>
  <si>
    <t>Pārsedzes 3000x375x200</t>
  </si>
  <si>
    <t>Pārsedzes 1600x300x200</t>
  </si>
  <si>
    <t>Pārsedzes 3000x300x200</t>
  </si>
  <si>
    <t>Pārsedzes 1600x250x200</t>
  </si>
  <si>
    <t>Pārsegums (BK-05)</t>
  </si>
  <si>
    <t>Pārseguma paneļu montāža.</t>
  </si>
  <si>
    <t>Inventāro veidņu uzstādīšana,eļļošana  monolītam pārsegumam un nojaukšana līdz 2 m augstumam,noma 21 dienas</t>
  </si>
  <si>
    <t>Armtūras sietu izgatavošana ,uzstādīšana,fiksatoru uzstādīšana monolītam pārsegumam .Armatūras stiegru sagarināšanu,sasiešanu ar stiepli veic būvlaukumā,armatūra BST500B;starteru uzstādīšana.Garenvirzienā stiegras savienot ar pārlaidumu , kura garums ir 30 stiegras diametri</t>
  </si>
  <si>
    <t>Betona C25/30(LVS EN 206-1) iestrādāšana monolītām pārsegumam,novibrējot,betonu padod ar sūkni</t>
  </si>
  <si>
    <t>Peiko HPM 16P  montāža</t>
  </si>
  <si>
    <t>Siltumizolācijas no putupolistirola 50 mm ierīkošana pārsedzēm un pārsegumam</t>
  </si>
  <si>
    <t>Kāpņu un ieejas jumta pamati</t>
  </si>
  <si>
    <t>Šķembu fr.0/20pamatojuma ierīkošana 10 cm biezumā,  blietēšana</t>
  </si>
  <si>
    <t>Šķembas fr 0/20</t>
  </si>
  <si>
    <t>Inventāro veidņu uzstādīšana,eļļošana  kāpnei un nojaukšana līdz 2 m augstumam,noma 14 dienas</t>
  </si>
  <si>
    <t>Armtūras sietu izgatavošana ,uzstādīšana,fiksatoru uzstādīšana kāpnēm .Armatūras stiegru sagarināšanu,sasiešanu ar stiepli veic būvlaukumā,armatūra A400;starteru uzstādīšana.Garenvirzienā stiegras savienot ar pārlaidumu , kura garums ir 30 stiegras diametri</t>
  </si>
  <si>
    <t>Armatūra BST500B  d=10</t>
  </si>
  <si>
    <t>Betona C25/30 XC2;XF2(LVS EN 206-1) iestrādāšana monolītām pārsegumam,pārsedzēm,novibrējot,betonu padod ar sūkni</t>
  </si>
  <si>
    <t>Betons C 25/30 XC2;XF2</t>
  </si>
  <si>
    <t>UPE 200</t>
  </si>
  <si>
    <t>120X120X5</t>
  </si>
  <si>
    <t>Palīgmateriāli -skrūves,uzgriežņi u.c.</t>
  </si>
  <si>
    <t>Rēžģota klāja montāža no karsti cinkota tērauda</t>
  </si>
  <si>
    <t>Saliekamo tērauda pakāpienu montāža no karsti cinkota tērauda 250x900 mm</t>
  </si>
  <si>
    <t>Saliekamo tērauda pakāpienu montāža no karsti cinkota tērauda 250x1000 mm</t>
  </si>
  <si>
    <t>Saliekamo dz.betona kāpņu montāža</t>
  </si>
  <si>
    <t>05-L.c.</t>
  </si>
  <si>
    <t>Metāla margu uzstādīšana</t>
  </si>
  <si>
    <t>Metāla krāsotas margas, koka rokturis, trošītes skat AR-1-7, palīgmateriāli, stiprinājumi</t>
  </si>
  <si>
    <t>Lieveņu, pandusu bruģēšana</t>
  </si>
  <si>
    <t>Kāpnes, pakāpieni, kāpņu laukumi-iekšējās</t>
  </si>
  <si>
    <t>Akmensmasas flīžu seguma ierīkošana kāpņu laukumiņiem</t>
  </si>
  <si>
    <t>Flīžu līme Atlas</t>
  </si>
  <si>
    <t>Šuvju mastika</t>
  </si>
  <si>
    <t>Kāpņu virsmas pārklājums ar tonētu epoksīda pārklājumu ar virsmas sagatavošanu pirms uzklāšanas</t>
  </si>
  <si>
    <t>Grunts, špaktele, tonēts epoksīda pārklājums, palīgmateriāli</t>
  </si>
  <si>
    <t>Jumts (BK-08)</t>
  </si>
  <si>
    <t>IPE 300</t>
  </si>
  <si>
    <t>UPE 160</t>
  </si>
  <si>
    <t>L150X150X1</t>
  </si>
  <si>
    <t>Jumta nesošā profīla montāža</t>
  </si>
  <si>
    <r>
      <t>m</t>
    </r>
    <r>
      <rPr>
        <vertAlign val="superscript"/>
        <sz val="9"/>
        <rFont val="Arial"/>
        <family val="2"/>
        <charset val="204"/>
      </rPr>
      <t>2</t>
    </r>
  </si>
  <si>
    <t>Ruuki nesošais profils T130M-75L-930=1,2 mm</t>
  </si>
  <si>
    <t>Paļigmateriāli (skrūves u.c)</t>
  </si>
  <si>
    <t>Āra jumts</t>
  </si>
  <si>
    <t>HEA 220</t>
  </si>
  <si>
    <t>08-L.c</t>
  </si>
  <si>
    <t>Jumta koka konstrukciju montāža no antiseptētām brusām stiprinot ar metāla kalumiem ,skrūvēm</t>
  </si>
  <si>
    <t>Antiseptētas brusas</t>
  </si>
  <si>
    <t>Palīgmateriāli-kalumi,skrūves</t>
  </si>
  <si>
    <t>Peiko SBKL 200x200  montāža</t>
  </si>
  <si>
    <t>OSB-22 ieklāšana jumtā</t>
  </si>
  <si>
    <t>09-L.c.</t>
  </si>
  <si>
    <t>Ruļveida seguma Tehnoelast ieklāšana jumtam</t>
  </si>
  <si>
    <t>Kausējamais ruberoīds apakšklājs  , propāns, palīgiekārtas k=1,17</t>
  </si>
  <si>
    <t>Kausējamais ruberoīds virsklājs , propāns, palīgiekārtas k=1,17</t>
  </si>
  <si>
    <t>Jumts AR</t>
  </si>
  <si>
    <t>Termo Z profila montāža 4 kārtas</t>
  </si>
  <si>
    <t>Z PROFILS 200x1,5 mm</t>
  </si>
  <si>
    <t>Stiprinājumi, skrūves , montāžas materiāli</t>
  </si>
  <si>
    <t>Jumta siltumizolācija 4. kārtas</t>
  </si>
  <si>
    <t>Termo Z profila montāža</t>
  </si>
  <si>
    <t>Z PROFILS 100x1,5 mm</t>
  </si>
  <si>
    <t>Tvaika izvadu montāža</t>
  </si>
  <si>
    <t>RUUKKI krāsotas teknes ierīkošana 150 mm</t>
  </si>
  <si>
    <t>Ugunsdrošo kāpņu montāža uz jumta  skat AR-1-5</t>
  </si>
  <si>
    <t>Skārda pieslēgums jumtam pie sienas</t>
  </si>
  <si>
    <t>Skārda elementu montāža dzegas apšuvumam, vējdēļiem</t>
  </si>
  <si>
    <t>Grīdu pamatne1. stāvā</t>
  </si>
  <si>
    <t>Drenējošās smilts pamatslānis</t>
  </si>
  <si>
    <t>Drenējoša smilts</t>
  </si>
  <si>
    <t>Ģeotekstila ieklāšana</t>
  </si>
  <si>
    <t>Hidroizolācijas ierīkošana</t>
  </si>
  <si>
    <t>Siltumizolācijas no putupolistirola ierīkošana 5. kārtas</t>
  </si>
  <si>
    <t>DOW STYROFOAM 250 zils ekstrudētais putuplasts (ar pusspundi) b=100 mm</t>
  </si>
  <si>
    <t>Armatūras uzstādīšana</t>
  </si>
  <si>
    <t>Stiegrojuma siets - d.6 150x150 mm AIII</t>
  </si>
  <si>
    <t>distanceri, ieliekamās detaļas uc paligmateriāli</t>
  </si>
  <si>
    <t>Betona  slānis 100 mm</t>
  </si>
  <si>
    <t>Betons B 25</t>
  </si>
  <si>
    <t>Grīdas izlīdzināšana ar Vetonit 5500 10 mm biezumā zem PVC seguma un parketa</t>
  </si>
  <si>
    <t>Grīdu pamatne 2, 3 stāvā</t>
  </si>
  <si>
    <t>Siltumizolācija Paroc b=30 mm</t>
  </si>
  <si>
    <t>Paroc SSB 30mm 600x1200mm starpstāvu skaņas izolacija</t>
  </si>
  <si>
    <t>"Estrich" javas klona grīdu ierīkošana ( 50 mm), slīpēšana, deformācijas šuvju izgriezšana</t>
  </si>
  <si>
    <t>Cements, smilts, polipropilēna šķiedras</t>
  </si>
  <si>
    <t>Grīdas izlīdzināšana ar Vetonit 5500 10 mm biezumā zem PVC seguma</t>
  </si>
  <si>
    <t>Grīdu segumi</t>
  </si>
  <si>
    <t>Vetonit 3000</t>
  </si>
  <si>
    <t>"Tarket" PVC</t>
  </si>
  <si>
    <t>Metināšana diegs</t>
  </si>
  <si>
    <t>Parketa lakošana</t>
  </si>
  <si>
    <r>
      <t xml:space="preserve"> Augstvērtīga, modificētu uz mākslīgo sveķu bāzes, 1-komponeta laka "</t>
    </r>
    <r>
      <rPr>
        <i/>
        <sz val="10"/>
        <rFont val="Times New Roman"/>
        <family val="1"/>
        <charset val="186"/>
      </rPr>
      <t>LT Export Extra"</t>
    </r>
    <r>
      <rPr>
        <sz val="10"/>
        <rFont val="Times New Roman"/>
        <family val="1"/>
        <charset val="186"/>
      </rPr>
      <t xml:space="preserve"> (vai analogs) sporta grīdai ar augstu pretslīdes koeficientu R11, kas atbilst BGR 181, ZH1/571 un DIN 51130 un elastību. Laka jāklāj 3-4 kārtās. Patēriņš 10 m² ar 1 litru</t>
    </r>
  </si>
  <si>
    <t>Knauf Flaechendicht Hidroizolācija vai analogs</t>
  </si>
  <si>
    <t>Akmensmasas flīžu seguma ierīkošana</t>
  </si>
  <si>
    <t>Akmensmasas flīžu seguma grīdlīstes ierīkošana h=10cm</t>
  </si>
  <si>
    <t>Koka grīdlīstes uzstādīšana</t>
  </si>
  <si>
    <t>Koka grīdlīste</t>
  </si>
  <si>
    <t>Skrūves ar dībeļiem</t>
  </si>
  <si>
    <t>PVC logu bloku uzstādīšana saskaņā ar AR-1-15</t>
  </si>
  <si>
    <t>Palīgmateriāli(skavas,putas,silikons u.c.)</t>
  </si>
  <si>
    <t>Alumīnija ieejas vitrīnas uzstādīšana saskaņā ar AR-1-15</t>
  </si>
  <si>
    <t>Iekšējās palodzes uzstādīšana</t>
  </si>
  <si>
    <t>Palodze HDF aplīmēta ar plastikātu  balta mat</t>
  </si>
  <si>
    <t>Ārējo palodžu montāža</t>
  </si>
  <si>
    <t>Krāsots skārds</t>
  </si>
  <si>
    <t>Dībeļi, skrūves, kniedes</t>
  </si>
  <si>
    <t>Ārdurvju bloku uzstādīšana saskaņā ar AR-1-16</t>
  </si>
  <si>
    <t>Durvju bloku uzstādīšana saskaņā ar AR-1-16</t>
  </si>
  <si>
    <t>D1- durvis (1,0x2,1m)</t>
  </si>
  <si>
    <t>D2- durvis (0,9x2,1m)</t>
  </si>
  <si>
    <t>D3- durvis (0,8x2,1m)</t>
  </si>
  <si>
    <t>D4- durvis (0,7x2,1m)</t>
  </si>
  <si>
    <t>Amoritizējošo dizūzijas lentu iebūve pa logu un ārduvju perimetru (iekšējās un ārējās)</t>
  </si>
  <si>
    <t>Griesti</t>
  </si>
  <si>
    <t>Piekārto griestu ierīkošana</t>
  </si>
  <si>
    <t>Armstrong piekārto griestu plāksnes</t>
  </si>
  <si>
    <t>Metāla nesošais karkass-līstes nesošās  T-24-3700,1200,600mm,iekare AH,gr.dībelis,stieple,per.lìste,enkurngla 6x35</t>
  </si>
  <si>
    <t>Ģipša MP-75 apmetuma izveidošana līdz 15 mm</t>
  </si>
  <si>
    <t>Knauf MP 75 Ģipša mašīnapmetums</t>
  </si>
  <si>
    <t>Zemapmetuma grunts PUTZGRUND</t>
  </si>
  <si>
    <t>Apmetuma izveidošana līdz 10 mm</t>
  </si>
  <si>
    <t>Apmetums mitrumizturīgs KROHVISEGU</t>
  </si>
  <si>
    <t>Knauf sistēmas iekārto griestu D113 metāla karkasa ierīkošana</t>
  </si>
  <si>
    <t>UD profils 28x27x0.6</t>
  </si>
  <si>
    <t>Knauf Enkurnagla 6x35mm (100gb)</t>
  </si>
  <si>
    <t>Stieple ar cilpu 500 mm</t>
  </si>
  <si>
    <t>Ātrā enkuriekare CD profilam 60x27</t>
  </si>
  <si>
    <t>CD profils 60x27x06</t>
  </si>
  <si>
    <t>Krustveida savienotājs CD profilam 60x27</t>
  </si>
  <si>
    <t>Karkasu  apšūšana ar ģipškartonu (1kārta)</t>
  </si>
  <si>
    <t>Knauf ģipškartona plātne GKB</t>
  </si>
  <si>
    <t>Karkasu  apšūšana ar mitrumizturīgo ģipškartonu (1kārta)</t>
  </si>
  <si>
    <t>Knauf ģipškartona plātne GKBI</t>
  </si>
  <si>
    <t>Karkasu  apšūšana ar ugunsdrošo  ģipškartonu  (2kārtas)</t>
  </si>
  <si>
    <t>Knauf ģipškartona plātne GKF</t>
  </si>
  <si>
    <t>Stiklašķiedras šuvju lenta</t>
  </si>
  <si>
    <t>Uniflott 25 kg maiss</t>
  </si>
  <si>
    <t>VETONIT LR  špaktele</t>
  </si>
  <si>
    <t>Smilšpapīrs</t>
  </si>
  <si>
    <t>Tiefgrund LF  Dziļumgrunts</t>
  </si>
  <si>
    <t>Grunts Sadolin BASE</t>
  </si>
  <si>
    <t>Sienas</t>
  </si>
  <si>
    <t>Ģipša  apmetuma izveidošana līdz 15 mm</t>
  </si>
  <si>
    <t>Knauf MP 75 Ģipša mašīnapmetums 40kg</t>
  </si>
  <si>
    <t>Ģipša apmetuma izveidošana līdz 15 mm ailām</t>
  </si>
  <si>
    <t>Grunts Sadolin</t>
  </si>
  <si>
    <t>Ailu apmaļu krāsošana  2k.</t>
  </si>
  <si>
    <t>Emulsija Sadolin</t>
  </si>
  <si>
    <t>Sadolin Base</t>
  </si>
  <si>
    <t>Sagatavotu sienu krāsošana ar tonētām krāsām 2k.</t>
  </si>
  <si>
    <t>Sadolin Bindo  vai analogs</t>
  </si>
  <si>
    <t>Knauf Flaechendicht 5kg Hidroizolācija</t>
  </si>
  <si>
    <t>Keramikas masas flīzes</t>
  </si>
  <si>
    <t>Flīžu līme ATLAS</t>
  </si>
  <si>
    <t>21-L.c.</t>
  </si>
  <si>
    <t>Logu aizlīmēšana ar plēvi</t>
  </si>
  <si>
    <t>Polietilēna plēve 0,20mm  (UV - stabilizēta) Tvaika izol.</t>
  </si>
  <si>
    <t>Sastatņu uzstādīšana ,nojaukšana ieskaitot nomu(iekļaujot sastatņu aizsargsietu)</t>
  </si>
  <si>
    <t>Fasādes kolonnu špaktelēšana ar fasādes špakteli, gruntēšana</t>
  </si>
  <si>
    <t>Sakret CC špaktele</t>
  </si>
  <si>
    <t>Fasādes gruntēšana</t>
  </si>
  <si>
    <t>Krāsa Vivacolor HANSA SILICAT PRIMER</t>
  </si>
  <si>
    <t>Fasādes krāsošana ar fasādes krāsu</t>
  </si>
  <si>
    <t>21-L.c</t>
  </si>
  <si>
    <t>Metāla karkasa uzstādīšana galvenās ieejas nojumes griestiem</t>
  </si>
  <si>
    <t>ETERNIT Pictura plātņu montāža galvenās ieejas nojumes griestiem</t>
  </si>
  <si>
    <t>ETERNIT Pictura plātes, palīgmateriāli</t>
  </si>
  <si>
    <t>Metāla karkasa uzstādīšana fasādei</t>
  </si>
  <si>
    <t>Ruukki Liberta kasešu uzstādīšana</t>
  </si>
  <si>
    <t>Ruukki, Liberta, palīgmateriāli, montāžas materiāli</t>
  </si>
  <si>
    <t>Ailu, stūru, pieslēgumu apdare ārsienām</t>
  </si>
  <si>
    <t>Skārda elementi ailēm stūriem pieslēgumiem, palīgmateriāli, montāžas materiāli</t>
  </si>
  <si>
    <t>Cokols</t>
  </si>
  <si>
    <t>BIK</t>
  </si>
  <si>
    <t>Fasādes  gruntēšana</t>
  </si>
  <si>
    <t>Dziļumgrunts SAKRET TGW</t>
  </si>
  <si>
    <t>Armējošā sieta  iestrāde fasādei</t>
  </si>
  <si>
    <t>Līmēšanas un armēšanas java SAKRET BAK pelēka</t>
  </si>
  <si>
    <t>Stiklašķiedras siets fasādei</t>
  </si>
  <si>
    <t>Fasādes  gruntèšana</t>
  </si>
  <si>
    <t>Gruntskrāsa SAKRET PG 15kg ( zem dekoratīvā apmetuma)</t>
  </si>
  <si>
    <t>Sakret MRP-E 2mm 25kg Dekoratīvais apmetums</t>
  </si>
  <si>
    <t>Fasādes krāsošana ar gruntskrāsu</t>
  </si>
  <si>
    <t>Fasādei - Sakret FM primer</t>
  </si>
  <si>
    <t>Sakret FC krāsa</t>
  </si>
  <si>
    <t>Kājslauķa FORBO Connect Bristle,close  montāža</t>
  </si>
  <si>
    <t>n</t>
  </si>
  <si>
    <t>Dažādi demontāžas darbi t.sk logi un durvis esošajā skolas ēkā</t>
  </si>
  <si>
    <t>Lentas šuvēm, grunts,  palīgmateriāli</t>
  </si>
  <si>
    <t>iekļauts tāmē 1,12</t>
  </si>
  <si>
    <t>Pacēlāja, sastatņu  izmaksas</t>
  </si>
  <si>
    <t>Palīgmateriāli(skavas,putas,silikons, blīvējumi u.c.)</t>
  </si>
  <si>
    <t>Logu bloku uzstādīšana saskaņā ar AR-1-16* esošās ēkas sienā</t>
  </si>
  <si>
    <t>Durvju bloku uzstādīšana saskaņā ar AR-1-16* esošās ēkas sienā</t>
  </si>
  <si>
    <t>Sporta spēļu laukuma līniju marķējuma krāsošana ~30m2</t>
  </si>
  <si>
    <t>Sadalne.v/a., IP54 Prisma Plus G MS-1</t>
  </si>
  <si>
    <t>Sadalne.z/a., IP44 12mod Pragma SM-1</t>
  </si>
  <si>
    <t>Sadalne.z/a., IP44 24mod Pragma VS-1</t>
  </si>
  <si>
    <t>Sadalne.z/a., IP44 24mod Pragma ĀAS-1</t>
  </si>
  <si>
    <t>Gaismeklis  ar LED spuldzi E14 9W LED 3000K 
Piekārts.</t>
  </si>
  <si>
    <t>Kabelis NYY-J 5x16</t>
  </si>
  <si>
    <t>Kabelis PPJ-5x6</t>
  </si>
  <si>
    <t>Kabelis NHXH-J E30-3x1.5</t>
  </si>
  <si>
    <t>Herm.kārba IP 65 E90</t>
  </si>
  <si>
    <t>Vēdināšanas sistēma</t>
  </si>
  <si>
    <t>Vadības bloks „GVL 8301K”</t>
  </si>
  <si>
    <t>Slēdzis vēdināšanai „LT 83UE”</t>
  </si>
  <si>
    <t>Ķēžveida pievāds logiem „VCD-22”</t>
  </si>
  <si>
    <t>Dūmu novadīšanas sistēma</t>
  </si>
  <si>
    <t>DNS vadības bloks 4A, 2 gr. ar akumulatoriem „RZN 4404M”</t>
  </si>
  <si>
    <t>Avarijas poga „RT 42”</t>
  </si>
  <si>
    <t>Komutācijas kārbs E30 „FK9263”</t>
  </si>
  <si>
    <t>Zobstieņa pievādu tandēms ar stiprinājumiem ZA35/600 TM+ZMZ</t>
  </si>
  <si>
    <t>Kabelis (N)NXH(ST)Hb FE180/E30 3x2,5</t>
  </si>
  <si>
    <t>Kabeļu kanāls 25x16</t>
  </si>
  <si>
    <r>
      <t>L1- logu bloks (1,4x1,4m) U</t>
    </r>
    <r>
      <rPr>
        <u/>
        <sz val="10"/>
        <rFont val="Arial"/>
        <family val="2"/>
        <charset val="186"/>
      </rPr>
      <t>&lt;</t>
    </r>
    <r>
      <rPr>
        <sz val="10"/>
        <rFont val="Arial"/>
        <family val="2"/>
        <charset val="186"/>
      </rPr>
      <t>0,8 W/m2K</t>
    </r>
  </si>
  <si>
    <t>L2- logu bloks (1,4x1,1m) U&lt; 0,8 W/m2K</t>
  </si>
  <si>
    <t>L3- logu bloks (2,0x1,1m) U&lt; 0,8 W/m2K</t>
  </si>
  <si>
    <t>L3*- logu bloks (2,0x1,1m) ar atvēršanas iespēju U&lt; 0,8 W/m2K</t>
  </si>
  <si>
    <t>L7- logu bloks (0,9x1,4m) U&lt; 0,8 W/m2K</t>
  </si>
  <si>
    <t>Ugunsdrošs logu bloks EI30 (1,18x1,86m)ar pašaizvēršanās mehānismu int.L-1 U&lt;1,4 W/m2K</t>
  </si>
  <si>
    <t>Ugunsdrošs logu bloks EI30 (2,06x1,86m)ar pašaizvēršanās mehānismu int. L-2 U&lt;1,4 W/m2K</t>
  </si>
  <si>
    <t>Ugunsdrošs durvju bloks EI30 (1,0x2,1m)ar pašaizvēršanās mehānismu int. D-1 U&lt;1,4 W/m2K</t>
  </si>
  <si>
    <t>Ugunsdrošs durvju bloks EI30 (1,8x2,3m)ar pašaizvēršanās mehānismu int. D-2 U&lt;1,4 W/m2K</t>
  </si>
  <si>
    <t>Krāsa Vivacolor HANSA SILICAT</t>
  </si>
  <si>
    <t>Dekoratīvā apmetuma ierīkošana fasādei</t>
  </si>
  <si>
    <t>ūdensapgāde-montāžas,palaišanas darbi-1.kārta</t>
  </si>
  <si>
    <t>Tērauda caurule   Dn32</t>
  </si>
  <si>
    <t>Elektroinstalācijas komplekts</t>
  </si>
  <si>
    <t>Vītņu sietiņfiltrs Dn 20</t>
  </si>
  <si>
    <t>Tehniskais manometrs ar ventili 0-10 bar</t>
  </si>
  <si>
    <t>Elektrometināta tērauda caurule  Dn50</t>
  </si>
  <si>
    <t>Elektrometināta tērauda caurule Dn32</t>
  </si>
  <si>
    <t>Elektrometināta tērauda caurule  Dn25</t>
  </si>
  <si>
    <t>Elektrometināta tērauda caurule  Dn20</t>
  </si>
  <si>
    <t>Elektrometināta tērauda caurule   Dn15</t>
  </si>
  <si>
    <t>Grunts LARAGRUNTS divas kārtas</t>
  </si>
  <si>
    <t>Gaismeklis 280W LED 4000K 13500lm,  piekārts, COMPACT HIGH BAY LED 230 W vai analogs</t>
  </si>
  <si>
    <t>Gaismeklis 45W LED 3000K 1250x120, IP20, ar reflektoru , piekārts,</t>
  </si>
  <si>
    <t>Gaismeklis 18W LED 3000K 140x140, IP44, ar aizsargstiklu , iebūvēts griestos,</t>
  </si>
  <si>
    <t>Gaismeklis 30W LED 3000K 220x220, IP20, ar aizsargstiklu , iebūvēts griestos,</t>
  </si>
  <si>
    <t>Gaismeklis  ar sensoru 2x28W  3000K 1200x120, IP44, ar aizsargstiklu , virs apmetuma,</t>
  </si>
  <si>
    <t>Gaismeklis  ar sensoru 21W LED 3000K D=160 mm, IP20, ar aizsargstiklu , iebūvēts griestos,</t>
  </si>
  <si>
    <t>Gaismeklis 18W LED 3000K D=110mm, IP20, ar reflektoru , iebūvēts griestos, Vizulo Nest</t>
  </si>
  <si>
    <t>Gaismeklis  Spoguļgaisma LED 15W 3000K 600x50, IP44, ar aizsargstiklu , virs apmetuma,</t>
  </si>
  <si>
    <t>Gaismeklis 18W LED 3000K D=300, IP44, ar aizsargstiklu , virs apmetuma ,</t>
  </si>
  <si>
    <t>Gaismeklis  Spoguļgaisma LED 15W 3000K 1200x50, IP44, ar aizsargstiklu , virs apmetuma,</t>
  </si>
  <si>
    <t>Evakuācijas apgaismojums  LED  2W, IP30,</t>
  </si>
  <si>
    <t>Evakuācijas gaismeklis ar norādi  LED 1.2W, IP65, (deg visu laiku) AWEX Helios</t>
  </si>
  <si>
    <t>Klātbūtnes sensors, augstfrekvences Steinel, PC IR Quattro</t>
  </si>
  <si>
    <t>Kabelis NHXH-J 3x1.5</t>
  </si>
  <si>
    <t>Kontaktligzda ar bērnu aizsardzību,16A, z.a. ar kārbu IP44,</t>
  </si>
  <si>
    <t>Kabeļu plaukta Pagrieziens 90 grādi 200</t>
  </si>
  <si>
    <t>UG putas 30 min.</t>
  </si>
  <si>
    <t>UG savilve D=12-20 mm</t>
  </si>
  <si>
    <t>Zemējuma lenta 40x4mm, cinkots tērauds,tranšejas rakšana ,aizbēršana</t>
  </si>
  <si>
    <t>Potenciālu izlīdzinošā kopne Ø8-10mm/30x5mm</t>
  </si>
  <si>
    <t>Pievien. klemme zemējuma stienim
8-10/40/20mm</t>
  </si>
  <si>
    <t>Liekās grunts izvešana</t>
  </si>
  <si>
    <t>Spiediena dzēšanas aka no saliekamiem dzelzbetona grodiem atbilstoši LVS EN 1917, ar iestrādātiem gumijas blīvgredzeniem, vāks no kaļamā ķeta ar gumijas blīvējumiem. Iebūves dziļums līdz 1,5m.</t>
  </si>
  <si>
    <t>Asfaltbetons Acb-22 h=60mm</t>
  </si>
  <si>
    <t>Bitums</t>
  </si>
  <si>
    <t>Betons</t>
  </si>
  <si>
    <t>Siltumtrases cauruļvadu ultraskaņas pārbaude</t>
  </si>
  <si>
    <t>1. Spēka tīklu ierīkošana (Elektroietaišu pārcelšana)</t>
  </si>
  <si>
    <t>1.1 Montāžas darbi</t>
  </si>
  <si>
    <t>2. Spēka tīklu ierīkošana (Lietotāja daļa)</t>
  </si>
  <si>
    <t>2.1 Montāžas darbi</t>
  </si>
  <si>
    <t>ZS plastmasas izolācijas kabeļa līdz 35 mm2 gala apdare</t>
  </si>
  <si>
    <t>3.1 Montāžas darbi</t>
  </si>
  <si>
    <r>
      <t xml:space="preserve">Kabelis </t>
    </r>
    <r>
      <rPr>
        <sz val="10"/>
        <color rgb="FF000000"/>
        <rFont val="Arial"/>
        <family val="2"/>
        <charset val="1"/>
      </rPr>
      <t>NYY-J 4x6</t>
    </r>
  </si>
  <si>
    <t>Gumijas blīve  GB-RG 4-10m stabam</t>
  </si>
  <si>
    <t>Automātslēdzis  1f C3 uz konsoli.</t>
  </si>
  <si>
    <r>
      <t>Būvlaukuma nožogošana ar invemtāra žoga posmiem 3,5x2m,žogu nojaukšana,noma 7</t>
    </r>
    <r>
      <rPr>
        <sz val="10"/>
        <color rgb="FFFF0000"/>
        <rFont val="Arial Narrow"/>
        <family val="2"/>
        <charset val="186"/>
      </rPr>
      <t xml:space="preserve"> </t>
    </r>
    <r>
      <rPr>
        <sz val="10"/>
        <rFont val="Arial Narrow"/>
        <family val="2"/>
        <charset val="186"/>
      </rPr>
      <t>mēn</t>
    </r>
  </si>
  <si>
    <r>
      <t>Konteinera tipa vagoniņi 2 stāvos (2,5x6m)ģērbtuvēm, birojam uzstādīšana ar autoceltni;noma 7</t>
    </r>
    <r>
      <rPr>
        <sz val="10"/>
        <color rgb="FFFF0000"/>
        <rFont val="Arial Narrow"/>
        <family val="2"/>
        <charset val="186"/>
      </rPr>
      <t xml:space="preserve"> </t>
    </r>
    <r>
      <rPr>
        <sz val="10"/>
        <rFont val="Arial Narrow"/>
        <family val="2"/>
        <charset val="186"/>
      </rPr>
      <t>mēm</t>
    </r>
  </si>
  <si>
    <t>Maksa par elektoenerģijas izmantošanu</t>
  </si>
  <si>
    <t>Grunts rakšana ar ekskavatoru, iekraujot grunti automašīnā-pašizgāzējā</t>
  </si>
  <si>
    <t>Liekās grunts aizvešana  Līdz 10 km attāluma</t>
  </si>
  <si>
    <t>Veidņu uzstādīšana,eļļošana pamatojumam un nojaukšana</t>
  </si>
  <si>
    <t>Ārsienu un iekšsienu mūrēšana no AEROC gāzbetona blokiem</t>
  </si>
  <si>
    <t>AEROC bloku līme</t>
  </si>
  <si>
    <t>Stiegrojums</t>
  </si>
  <si>
    <t>Ķieģeļi 250x120x88</t>
  </si>
  <si>
    <t>Cementa java</t>
  </si>
  <si>
    <t>Veidņu uzstādīšana,eļļošana monolītām joslām,pārsedzēm un nojaukšana</t>
  </si>
  <si>
    <t>Sienu siltumizolācija</t>
  </si>
  <si>
    <t>Paroc Extra-100mm</t>
  </si>
  <si>
    <t>Paroc Extra-200mm</t>
  </si>
  <si>
    <t>Paroc WAS25t- 30mm</t>
  </si>
  <si>
    <t>UW profils 100x40x0,6</t>
  </si>
  <si>
    <t>Karkasu  apšūšana ar ugunsdrošo ģipškartonu (2kārtas)</t>
  </si>
  <si>
    <t>Tērauda konstrukciju - karsti cinkotu izgatavošana,piegāde,montāža kāpnēm,montēt ar normālā precizētām 8.8 klases galvenazitētām skrūvēm,,6.stiprības klases uzgriežņiem un atbilstošām paplāksnēm,piemetinot ieliekām detaļām,ieskaitot tērauda konstrukciju virsmu apstrādi, atbilstoši darba zīmējumu prasībām</t>
  </si>
  <si>
    <t>Ieejas kāpnes, panduss</t>
  </si>
  <si>
    <t>Akmens masas flīzes</t>
  </si>
  <si>
    <t>Tērauda konstrukciju izgatavošana,piegāde,montāža jumta konstrukcijā,montēt ar normālā precizētām 8.8 klases galvenazitētām skrūvēm,,6.stiprības klases uzgriežņiem un atbilstošām paplāksnēm,piemetinot ieliekām detaļām,ieskaitot tērauda konstrukciju virsmu apstrādi,ugunsdrošo krāsojumu atbilstoši darba zīmējumu prasībām</t>
  </si>
  <si>
    <t>Tērauda konstrukciju izgatavošana,piegāde,montāža jumta konstrukcijā,montēt ar normālā precizētām 8.8 klases galvenazitētām skrūvēm,,6.stiprības klases uzgriežņiem un atbilstošām paplāksnēm,piemetinot ieliekām detaļām,ieskaitot tērauda konstrukciju virsmu apstrādi, atbilstoši darba zīmējumu prasībām</t>
  </si>
  <si>
    <t>OSB-22 plātnes</t>
  </si>
  <si>
    <t>Jumta siltumizolācija</t>
  </si>
  <si>
    <t>Skrūves</t>
  </si>
  <si>
    <t>Tvaika izvadi</t>
  </si>
  <si>
    <t>polietilēna plēve</t>
  </si>
  <si>
    <t>Siltumizolācijas no putupolistirola ierīkošana</t>
  </si>
  <si>
    <t>Vetonit 5500 Pamatlīdzinātājs betona grīdām</t>
  </si>
  <si>
    <t>Grīdas izlīdzināšana ar Vetonit 3000 3 mm</t>
  </si>
  <si>
    <t>PVC seguma grīdu iesegšana</t>
  </si>
  <si>
    <t>Uzin KE 2000S linoleja līme</t>
  </si>
  <si>
    <t>Hidroizolācija no uzziežamas membrānas</t>
  </si>
  <si>
    <t>Gipškartona špaktelēšana (špaktelējot visā plaknē), slīpēšana</t>
  </si>
  <si>
    <t>Apmetuma špaktelēšana, slīpēšana t.sk. kāpņu apakšdaļas</t>
  </si>
  <si>
    <t>Sagatavotu griestu gruntēšana  t.sk. kāpņu apakšdaļas</t>
  </si>
  <si>
    <t>Sagatavotu griestu krāsošana  2k. t.sk. kāpņu apakšdaļas</t>
  </si>
  <si>
    <t>Emulsija  Sadolin Bindo</t>
  </si>
  <si>
    <t>Apmetumu profils</t>
  </si>
  <si>
    <t>Apmetuma špaktelēšana, slīpēšana</t>
  </si>
  <si>
    <t>Ailu apmaļu apmetuma špaktelēšana, slīpēšana</t>
  </si>
  <si>
    <t>Ailu apmaļu gruntēšana</t>
  </si>
  <si>
    <t>Sagatavotu sienu gruntēšana</t>
  </si>
  <si>
    <t>Sienu flīzēšana ar šuvošanu</t>
  </si>
  <si>
    <t>RUUKKi krāsotu notekcauruļu uzstādīšana 100 mm</t>
  </si>
  <si>
    <t>Aizsargmateriāls letus ūdens aizsardzībai AR-1-6</t>
  </si>
  <si>
    <t>Jumta iesegšana ar OSB plātnēm</t>
  </si>
  <si>
    <t>Plātne OSB b= 15mm</t>
  </si>
  <si>
    <t>Kļavas parketa dēļu klāja montāža, biezums 23 mm</t>
  </si>
  <si>
    <t>Grīdas konstrukcijas latas(pa diagonāli) 30 mm montāža</t>
  </si>
  <si>
    <t>15a</t>
  </si>
  <si>
    <t>15b</t>
  </si>
  <si>
    <t>AD1 ārdurvis (1,0x2,2m) U&lt;0,86 W/m2K EI30</t>
  </si>
  <si>
    <t>AD2 ārdurvis (1,0x2,1m) U&lt;0,86 W/m2K EI30</t>
  </si>
  <si>
    <t>AD3 ārdurvis (2,0x2,1m) U&lt;0,86 W/m2K EI30</t>
  </si>
  <si>
    <t>AD4 ārdurvis (1,8x2,1m) U&lt;0,86 W/m2K EI30</t>
  </si>
  <si>
    <t>D9- durvis (0,9x2,1m) EI30</t>
  </si>
  <si>
    <t>D8- durvis (2,0x2,1m) EI30</t>
  </si>
  <si>
    <t>D7- durvis (1,0x2,1m) EI30</t>
  </si>
  <si>
    <t>D5- durvis (1,0x2,1m) EI30</t>
  </si>
  <si>
    <t>Komplektējošās detaļas</t>
  </si>
  <si>
    <t>17a</t>
  </si>
  <si>
    <t>Stiprinājumu iestrādāšana grīdā volejbola tīkla stabiem</t>
  </si>
  <si>
    <t>l.c.</t>
  </si>
  <si>
    <t>Ū1 sistēma</t>
  </si>
  <si>
    <t xml:space="preserve">Wavin Tigris Alupex caurule Ø16×2.0 </t>
  </si>
  <si>
    <t>DN15</t>
  </si>
  <si>
    <t xml:space="preserve">Wavin Tigris Alupex caurule Ø20×2.25 </t>
  </si>
  <si>
    <t xml:space="preserve">Wavin Tigris Alupex caurule Ø25×2.5 </t>
  </si>
  <si>
    <t>DN20</t>
  </si>
  <si>
    <t>DN25</t>
  </si>
  <si>
    <t>Čuguna ūdensvada caurule Ø42.4×3.2</t>
  </si>
  <si>
    <t>DN32</t>
  </si>
  <si>
    <t>Čuguna ūdensvada caurule Ø60×3.5</t>
  </si>
  <si>
    <t>DN50</t>
  </si>
  <si>
    <t>Lodveida krāns, PN16</t>
  </si>
  <si>
    <t>Laistīšanas krāns neizsalstošd, PN16</t>
  </si>
  <si>
    <t xml:space="preserve">Ugunsdrošās lentas </t>
  </si>
  <si>
    <t xml:space="preserve">Čuguna uzmava ar pāreju </t>
  </si>
  <si>
    <t>DN50/25</t>
  </si>
  <si>
    <t xml:space="preserve">Tērauda vītnes pagarinājums </t>
  </si>
  <si>
    <t>DN25 (5xd)</t>
  </si>
  <si>
    <t>Čuguna saskrūve</t>
  </si>
  <si>
    <t xml:space="preserve">Aukstā ūdens skaitītājs </t>
  </si>
  <si>
    <t>DN25 Q=2,5m3/h</t>
  </si>
  <si>
    <t>DN25 (3xd)</t>
  </si>
  <si>
    <t>Tērauda trejgabals</t>
  </si>
  <si>
    <t>DN25/15</t>
  </si>
  <si>
    <t>Iztukšošanas krāns</t>
  </si>
  <si>
    <t>DN32/20</t>
  </si>
  <si>
    <t>DN20 (5xd)</t>
  </si>
  <si>
    <t>DN20  Q=1,5m3/h</t>
  </si>
  <si>
    <t>DN20 (3xd)</t>
  </si>
  <si>
    <t>DN20/15</t>
  </si>
  <si>
    <t xml:space="preserve">Universālā pāreja uz PE cauruli ar vītni </t>
  </si>
  <si>
    <t xml:space="preserve">DN32/20 </t>
  </si>
  <si>
    <t>Daudzslāņu caurule Ø63×6,0</t>
  </si>
  <si>
    <t>Daudzslāņu caurule Ø40x4,0</t>
  </si>
  <si>
    <t xml:space="preserve">Balansējošais vārsts, PN16 </t>
  </si>
  <si>
    <t>Melnā elektrometinātā tērauda caurule nogruntēta un nokrāsota</t>
  </si>
  <si>
    <t>Lodveida krāns, PN10</t>
  </si>
  <si>
    <t>Tauriņveida vārsts ar elektropievadu EBRO E65 WS</t>
  </si>
  <si>
    <t xml:space="preserve">Cauruļvadu stiprinājumi </t>
  </si>
  <si>
    <t>DN100</t>
  </si>
  <si>
    <t>Materiālu un iekārtu specifikācija K2</t>
  </si>
  <si>
    <t>Lietusūdens PP uzmavu caurule. Ieguldes klase T8. Iebūves dziļums līdz 1,5m, montāža</t>
  </si>
  <si>
    <t>DN200</t>
  </si>
  <si>
    <t>DN250</t>
  </si>
  <si>
    <t>DN315</t>
  </si>
  <si>
    <t>DN400</t>
  </si>
  <si>
    <t>Lietusūdens PE spiedcaurule PN10. Iebūves dziļums līdz 1,5m, mpontāža</t>
  </si>
  <si>
    <t xml:space="preserve">Dzelzbetona skataka no saliekamiem dzelzbetona grodiem atbilstoši LVS EN 1917, ar iestrādātiem gumijas blīvgredzeniem, vāks no kaļamā ķeta ar gumijas blīvējumiem. Iebūves dziļums līdz 1,0m, montāža </t>
  </si>
  <si>
    <t>D1000</t>
  </si>
  <si>
    <t xml:space="preserve">Dzelzbetona skataka no saliekamiem dzelzbetona grodiem atbilstoši LVS EN 1917, ar iestrādātiem gumijas blīvgredzeniem, vāks no kaļamā ķeta ar gumijas blīvējumiem. Iebūves dziļums līdz 1,5m, montāža </t>
  </si>
  <si>
    <t>Dzelzbetona skataka no saliekamiem dzelzbetona grodiem atbilstoši LVS EN 1917, ar iestrādātiem gumijas blīvgredzeniem, vāks no kaļamā ķeta ar gumijas blīvējumiem. Iebūves dziļums līdz 2,0m, montāža</t>
  </si>
  <si>
    <t xml:space="preserve">Dzelzbetona skataka no saliekamiem dzelzbetona grodiem atbilstoši LVS EN 1917, ar iestrādātiem gumijas blīvgredzeniem, vāks no kaļamā ķeta ar gumijas blīvējumiem. Iebūves dziļums līdz 1,5m. </t>
  </si>
  <si>
    <t>D1500</t>
  </si>
  <si>
    <t xml:space="preserve">Spiediena dzēšanas aka no saliekamiem dzelzbetona grodiem atbilstoši LVS EN 1917, ar iestrādātiem gumijas blīvgredzeniem, vāks no kaļamā ķeta ar gumijas blīvējumiem. Iebūves dziļums līdz 1,5m. </t>
  </si>
  <si>
    <t>Gūlija D400mm ar nosēddaļu 70l un vāku ar restēm. Iebūves dziļums līdz 2,0m, montāža</t>
  </si>
  <si>
    <t>D400</t>
  </si>
  <si>
    <t>Aizsargčaula akas sienā, montāža</t>
  </si>
  <si>
    <t>DN500</t>
  </si>
  <si>
    <t>D2000</t>
  </si>
  <si>
    <t>Naftas, eļļas smilšu atdalītājs EuroPEK Roo SuperKombi NS45/15/4500 (Qnom=15l/s; Qmax=45l/s), montāža</t>
  </si>
  <si>
    <t>D1400</t>
  </si>
  <si>
    <t>Šķērsojums ar esošu ūdensvadu ar to aizsardzību</t>
  </si>
  <si>
    <t>D50</t>
  </si>
  <si>
    <t>D100</t>
  </si>
  <si>
    <t>D200</t>
  </si>
  <si>
    <t>Šķērsojums ar demontējamu ūdensvadu</t>
  </si>
  <si>
    <t>D30</t>
  </si>
  <si>
    <t>Šķērsojums ar projektējamu sadzīves kanalizācijas tīklu ar to aizsardzību</t>
  </si>
  <si>
    <t>DN160</t>
  </si>
  <si>
    <t>Šķērsojums ar projektējamu ūdensvadu ar to aizsardzību</t>
  </si>
  <si>
    <t>DN65</t>
  </si>
  <si>
    <t>Šķērsojums ar projektējamu siltumtrasi ar to aizsardzību</t>
  </si>
  <si>
    <t>D76/160</t>
  </si>
  <si>
    <t xml:space="preserve">Lietusūdens tīklu skalošana </t>
  </si>
  <si>
    <t xml:space="preserve">Pieslēgums pie esošas caurtekas </t>
  </si>
  <si>
    <t>D500</t>
  </si>
  <si>
    <t xml:space="preserve">Liekās grunts izvešana </t>
  </si>
  <si>
    <t>Izlīdzinošā smilts slāņa 0.3m zem naftas eļļas atdalītāja</t>
  </si>
  <si>
    <t>Dzelzsbetona enkurplāksne ar stiegrām Ø12mm 100x100. Betona klase B25. Zem naftas eļļas atdalītāja</t>
  </si>
  <si>
    <t>8760x1800x150</t>
  </si>
  <si>
    <t>Enkursiksnas dzelzsbetona plāksnes nostiprināšanai</t>
  </si>
  <si>
    <t>Cilpas enkursiksnu nostiprināšanai</t>
  </si>
  <si>
    <t xml:space="preserve"> Asfaltbetons Acb-22 h=60mm</t>
  </si>
  <si>
    <t>Zālāju sēkla, aprēķina daudzums 4kg/100m2</t>
  </si>
  <si>
    <t>Esošā uzbēruma/kalniņa norakšana projektējamā autostāvietā ar grunts izvešanu uz atbērtni</t>
  </si>
  <si>
    <t>L4- logu bloks (1,4x1,4m) U&lt; 0,79 W/m2K EI30</t>
  </si>
  <si>
    <t>L5- logu bloks (1,4x1,1m) U&lt; 0,8 W/m2K EI30</t>
  </si>
  <si>
    <t>L6- logu bloks (2,0x1,1m) U&lt; 0,73 W/m2K EI30</t>
  </si>
  <si>
    <t>Esošo ugunsdzēsībās kāpņu demontāža, ar izvešanu</t>
  </si>
  <si>
    <t xml:space="preserve">AD3* ārdurvis (2,0x2,1m) </t>
  </si>
  <si>
    <t>V-1 (5,72x2,7m)</t>
  </si>
  <si>
    <t>CD profilu savienotājs 60x27</t>
  </si>
  <si>
    <t>Ārējā siltumtrase</t>
  </si>
  <si>
    <t>Ārējā kanalizācija K2</t>
  </si>
  <si>
    <t>Armtūras sietu izgatavošana ,uzstādīšana,fiksatoru uzstādīšana pandusam .Armatūras stiegru sagarināšanu,sasiešanu ar stiepli veic būvlaukumā,armatūra A400;starteru uzstādīšana.Garenvirzienā stiegras savienot ar pārlaidumu , kura garums ir 30 stiegras diametri</t>
  </si>
  <si>
    <t>Šķembu fr.0/20pamatojuma ierīkošana ,  blietēšana</t>
  </si>
  <si>
    <t>Betona C12/15 (LVS EN 206-1) iestrādāšana pandusam,novibrējot,betonu padod ar sūkni</t>
  </si>
  <si>
    <t>Betona C25/30 XC2;XF2(LVS EN 206-1) iestrādāšana pandusam,novibrējot,betonu padod ar sūkni,veidņu uzstādīšana,nojaukšana</t>
  </si>
  <si>
    <t>Pakāpienu (sausā betona) montāža pandusam,veidņu uzstādīšana,nojaukšana</t>
  </si>
  <si>
    <t>Panduss</t>
  </si>
  <si>
    <t>Enkuri rāmim  E-1</t>
  </si>
  <si>
    <t>Elastīgs kaučuka paliktnis 50x80x12 mm solis 25cm</t>
  </si>
  <si>
    <t>Šķembu pamatojuma izveidošana</t>
  </si>
  <si>
    <t>Dolomīta šķembas ar piegādi</t>
  </si>
  <si>
    <t>Siltumizolācijas stiprināšanas dībelis l=480 mm</t>
  </si>
  <si>
    <t>Koka bruses 60x45 mm</t>
  </si>
  <si>
    <t>Keramzīts</t>
  </si>
  <si>
    <t>Cementa javas kārta 50 mm</t>
  </si>
  <si>
    <t xml:space="preserve">Cementa java </t>
  </si>
  <si>
    <t>Tvaika izolācijas plēve</t>
  </si>
  <si>
    <t>Plēve</t>
  </si>
  <si>
    <t>Keramzīta slānis slīpuma veidošanai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</si>
</sst>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.00_-;\-* #,##0.00_-;_-* \-??_-;_-@_-"/>
    <numFmt numFmtId="165" formatCode="m\o\n\th\ d\,\ yyyy"/>
    <numFmt numFmtId="166" formatCode="#.00"/>
    <numFmt numFmtId="167" formatCode="#."/>
    <numFmt numFmtId="168" formatCode="0.0"/>
    <numFmt numFmtId="169" formatCode="#,##0.0"/>
  </numFmts>
  <fonts count="7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name val="Helv"/>
      <family val="2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Helv"/>
    </font>
    <font>
      <b/>
      <sz val="10"/>
      <name val="Arial"/>
      <family val="2"/>
      <charset val="186"/>
    </font>
    <font>
      <sz val="10"/>
      <name val="Arial"/>
      <family val="2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9"/>
      <name val="Arial"/>
      <family val="2"/>
      <charset val="186"/>
    </font>
    <font>
      <sz val="11"/>
      <name val="Calibri"/>
      <family val="2"/>
      <charset val="186"/>
    </font>
    <font>
      <b/>
      <i/>
      <sz val="9"/>
      <name val="Arial"/>
      <family val="2"/>
      <charset val="186"/>
    </font>
    <font>
      <vertAlign val="superscript"/>
      <sz val="9"/>
      <name val="Arial"/>
      <family val="2"/>
      <charset val="186"/>
    </font>
    <font>
      <sz val="10"/>
      <color indexed="64"/>
      <name val="Arial"/>
      <family val="2"/>
      <charset val="186"/>
    </font>
    <font>
      <sz val="10"/>
      <name val="Arial"/>
      <family val="2"/>
      <charset val="1"/>
    </font>
    <font>
      <b/>
      <sz val="9"/>
      <name val="Arial"/>
      <family val="2"/>
      <charset val="186"/>
    </font>
    <font>
      <b/>
      <u/>
      <sz val="10"/>
      <name val="Arial"/>
      <family val="2"/>
      <charset val="1"/>
    </font>
    <font>
      <b/>
      <i/>
      <sz val="10"/>
      <name val="Arial"/>
      <family val="2"/>
      <charset val="1"/>
    </font>
    <font>
      <sz val="11"/>
      <color indexed="8"/>
      <name val="Calibri"/>
      <family val="2"/>
      <charset val="204"/>
    </font>
    <font>
      <b/>
      <i/>
      <sz val="9"/>
      <name val="Arial"/>
      <family val="2"/>
      <charset val="1"/>
    </font>
    <font>
      <b/>
      <u/>
      <sz val="10"/>
      <name val="Arial"/>
      <family val="2"/>
      <charset val="186"/>
    </font>
    <font>
      <sz val="10"/>
      <name val="Calibri"/>
      <family val="1"/>
      <charset val="1"/>
    </font>
    <font>
      <sz val="10"/>
      <name val="Arial,Bold"/>
      <charset val="238"/>
    </font>
    <font>
      <b/>
      <sz val="10"/>
      <name val="Arial,Bold"/>
      <charset val="238"/>
    </font>
    <font>
      <b/>
      <sz val="10"/>
      <name val="Arial"/>
      <family val="2"/>
      <charset val="1"/>
    </font>
    <font>
      <vertAlign val="superscript"/>
      <sz val="10"/>
      <name val="Times New Roman"/>
      <family val="1"/>
      <charset val="186"/>
    </font>
    <font>
      <i/>
      <sz val="9"/>
      <name val="Arial"/>
      <family val="2"/>
      <charset val="186"/>
    </font>
    <font>
      <i/>
      <sz val="10"/>
      <name val="Arial"/>
      <family val="2"/>
      <charset val="186"/>
    </font>
    <font>
      <b/>
      <i/>
      <u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Arial Narrow"/>
      <family val="2"/>
      <charset val="186"/>
    </font>
    <font>
      <b/>
      <i/>
      <u/>
      <sz val="12"/>
      <name val="Arial"/>
      <family val="2"/>
      <charset val="186"/>
    </font>
    <font>
      <b/>
      <i/>
      <sz val="10"/>
      <name val="Arial"/>
      <family val="2"/>
      <charset val="186"/>
    </font>
    <font>
      <vertAlign val="superscript"/>
      <sz val="9"/>
      <name val="Arial"/>
      <family val="2"/>
      <charset val="204"/>
    </font>
    <font>
      <sz val="9"/>
      <name val="Arial"/>
      <family val="2"/>
      <charset val="204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Arial"/>
      <family val="2"/>
      <charset val="186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"/>
    </font>
    <font>
      <sz val="9"/>
      <name val="Arial"/>
      <family val="2"/>
      <charset val="1"/>
    </font>
    <font>
      <b/>
      <i/>
      <sz val="10"/>
      <color rgb="FF000000"/>
      <name val="Arial"/>
      <family val="2"/>
      <charset val="186"/>
    </font>
    <font>
      <i/>
      <sz val="10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sz val="10"/>
      <color rgb="FFFF0000"/>
      <name val="Arial Narrow"/>
      <family val="2"/>
      <charset val="186"/>
    </font>
    <font>
      <b/>
      <i/>
      <u/>
      <sz val="10"/>
      <color rgb="FF000000"/>
      <name val="Arial"/>
      <family val="2"/>
      <charset val="186"/>
    </font>
    <font>
      <sz val="10"/>
      <color rgb="FF800000"/>
      <name val="Arial"/>
      <family val="2"/>
      <charset val="186"/>
    </font>
    <font>
      <b/>
      <i/>
      <sz val="11"/>
      <color rgb="FF000000"/>
      <name val="Calibri"/>
      <family val="2"/>
      <charset val="186"/>
    </font>
    <font>
      <sz val="9"/>
      <color rgb="FF000000"/>
      <name val="Arial"/>
      <family val="2"/>
      <charset val="204"/>
    </font>
    <font>
      <sz val="8"/>
      <name val="Arial"/>
      <family val="2"/>
      <charset val="186"/>
    </font>
    <font>
      <sz val="10"/>
      <color indexed="8"/>
      <name val="MS Sans Serif"/>
      <family val="2"/>
      <charset val="186"/>
    </font>
    <font>
      <sz val="11"/>
      <color rgb="FF000000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FFFF00"/>
        <bgColor rgb="FFFFFFCC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auto="1"/>
      </top>
      <bottom style="thin">
        <color rgb="FF969696"/>
      </bottom>
      <diagonal/>
    </border>
    <border>
      <left style="thin">
        <color auto="1"/>
      </left>
      <right style="thin">
        <color rgb="FF969696"/>
      </right>
      <top style="thin">
        <color auto="1"/>
      </top>
      <bottom style="thin">
        <color rgb="FF9696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51">
    <xf numFmtId="0" fontId="0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ill="0" applyBorder="0" applyAlignment="0" applyProtection="0"/>
    <xf numFmtId="165" fontId="14" fillId="0" borderId="0">
      <protection locked="0"/>
    </xf>
    <xf numFmtId="166" fontId="14" fillId="0" borderId="0">
      <protection locked="0"/>
    </xf>
    <xf numFmtId="167" fontId="15" fillId="0" borderId="0">
      <protection locked="0"/>
    </xf>
    <xf numFmtId="167" fontId="15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3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32" fillId="0" borderId="0"/>
    <xf numFmtId="0" fontId="27" fillId="0" borderId="0"/>
    <xf numFmtId="0" fontId="1" fillId="0" borderId="0"/>
    <xf numFmtId="0" fontId="52" fillId="0" borderId="0"/>
    <xf numFmtId="0" fontId="69" fillId="0" borderId="0"/>
  </cellStyleXfs>
  <cellXfs count="563">
    <xf numFmtId="0" fontId="0" fillId="0" borderId="0" xfId="0"/>
    <xf numFmtId="0" fontId="11" fillId="0" borderId="0" xfId="0" applyFont="1" applyAlignment="1">
      <alignment horizontal="right" vertical="top" wrapText="1"/>
    </xf>
    <xf numFmtId="0" fontId="11" fillId="0" borderId="0" xfId="0" applyFont="1"/>
    <xf numFmtId="0" fontId="9" fillId="0" borderId="0" xfId="27" applyFont="1"/>
    <xf numFmtId="0" fontId="11" fillId="0" borderId="0" xfId="27" applyFont="1" applyAlignment="1">
      <alignment horizontal="right"/>
    </xf>
    <xf numFmtId="0" fontId="20" fillId="0" borderId="0" xfId="36" applyFont="1"/>
    <xf numFmtId="0" fontId="20" fillId="0" borderId="0" xfId="36" applyFont="1" applyAlignment="1">
      <alignment horizontal="right" vertical="center"/>
    </xf>
    <xf numFmtId="0" fontId="20" fillId="0" borderId="0" xfId="36" applyFont="1" applyAlignment="1">
      <alignment vertical="center"/>
    </xf>
    <xf numFmtId="0" fontId="20" fillId="4" borderId="0" xfId="36" applyFont="1" applyFill="1" applyAlignment="1">
      <alignment horizontal="right" vertical="center"/>
    </xf>
    <xf numFmtId="0" fontId="21" fillId="0" borderId="0" xfId="36" applyFont="1"/>
    <xf numFmtId="0" fontId="19" fillId="0" borderId="0" xfId="36" applyFont="1"/>
    <xf numFmtId="0" fontId="20" fillId="4" borderId="0" xfId="36" applyFont="1" applyFill="1" applyAlignment="1">
      <alignment vertical="center"/>
    </xf>
    <xf numFmtId="2" fontId="19" fillId="3" borderId="8" xfId="36" applyNumberFormat="1" applyFont="1" applyFill="1" applyBorder="1" applyAlignment="1">
      <alignment horizontal="center" vertical="center"/>
    </xf>
    <xf numFmtId="0" fontId="21" fillId="0" borderId="2" xfId="36" applyFont="1" applyBorder="1" applyAlignment="1">
      <alignment horizontal="center" vertical="center"/>
    </xf>
    <xf numFmtId="0" fontId="19" fillId="0" borderId="0" xfId="36" applyFont="1" applyAlignment="1">
      <alignment vertical="top"/>
    </xf>
    <xf numFmtId="0" fontId="19" fillId="0" borderId="0" xfId="36" applyFont="1" applyAlignment="1">
      <alignment vertical="center" wrapText="1"/>
    </xf>
    <xf numFmtId="0" fontId="22" fillId="0" borderId="0" xfId="36" applyFont="1" applyAlignment="1">
      <alignment vertical="center"/>
    </xf>
    <xf numFmtId="0" fontId="20" fillId="3" borderId="0" xfId="36" applyFont="1" applyFill="1"/>
    <xf numFmtId="0" fontId="12" fillId="0" borderId="2" xfId="36" applyFont="1" applyFill="1" applyBorder="1" applyAlignment="1">
      <alignment horizontal="right" vertical="center" wrapText="1"/>
    </xf>
    <xf numFmtId="0" fontId="12" fillId="0" borderId="2" xfId="36" applyFont="1" applyFill="1" applyBorder="1" applyAlignment="1">
      <alignment vertical="center" wrapText="1"/>
    </xf>
    <xf numFmtId="164" fontId="12" fillId="0" borderId="2" xfId="36" applyNumberFormat="1" applyFont="1" applyFill="1" applyBorder="1" applyAlignment="1">
      <alignment horizontal="right" vertical="center"/>
    </xf>
    <xf numFmtId="2" fontId="19" fillId="0" borderId="5" xfId="0" applyNumberFormat="1" applyFont="1" applyBorder="1" applyAlignment="1">
      <alignment horizontal="center" vertical="center"/>
    </xf>
    <xf numFmtId="2" fontId="19" fillId="0" borderId="6" xfId="0" applyNumberFormat="1" applyFont="1" applyBorder="1" applyAlignment="1">
      <alignment horizontal="center" vertical="center"/>
    </xf>
    <xf numFmtId="2" fontId="19" fillId="0" borderId="4" xfId="36" applyNumberFormat="1" applyFont="1" applyBorder="1" applyAlignment="1">
      <alignment horizontal="center" vertical="center"/>
    </xf>
    <xf numFmtId="2" fontId="19" fillId="0" borderId="10" xfId="36" applyNumberFormat="1" applyFont="1" applyBorder="1" applyAlignment="1">
      <alignment horizontal="center" vertical="center"/>
    </xf>
    <xf numFmtId="0" fontId="0" fillId="0" borderId="0" xfId="0" applyFont="1"/>
    <xf numFmtId="0" fontId="17" fillId="0" borderId="0" xfId="12" applyFont="1" applyFill="1" applyBorder="1" applyAlignment="1">
      <alignment horizontal="left" vertical="center" wrapText="1"/>
    </xf>
    <xf numFmtId="0" fontId="0" fillId="0" borderId="0" xfId="12" applyFont="1" applyFill="1" applyBorder="1" applyAlignment="1">
      <alignment vertical="center"/>
    </xf>
    <xf numFmtId="0" fontId="19" fillId="3" borderId="7" xfId="36" applyFont="1" applyFill="1" applyBorder="1" applyAlignment="1">
      <alignment horizontal="center" vertical="center"/>
    </xf>
    <xf numFmtId="0" fontId="19" fillId="3" borderId="8" xfId="36" applyFont="1" applyFill="1" applyBorder="1" applyAlignment="1">
      <alignment horizontal="center" vertical="center"/>
    </xf>
    <xf numFmtId="0" fontId="18" fillId="3" borderId="8" xfId="34" applyFont="1" applyFill="1" applyBorder="1" applyAlignment="1" applyProtection="1">
      <alignment horizontal="left" vertical="center" wrapText="1" indent="1"/>
      <protection locked="0"/>
    </xf>
    <xf numFmtId="0" fontId="18" fillId="3" borderId="8" xfId="34" applyFont="1" applyFill="1" applyBorder="1" applyAlignment="1" applyProtection="1">
      <alignment horizontal="center" vertical="center"/>
      <protection locked="0"/>
    </xf>
    <xf numFmtId="2" fontId="19" fillId="3" borderId="9" xfId="36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64" fontId="20" fillId="0" borderId="0" xfId="36" applyNumberFormat="1" applyFont="1"/>
    <xf numFmtId="0" fontId="21" fillId="0" borderId="0" xfId="36" applyFont="1" applyAlignment="1"/>
    <xf numFmtId="0" fontId="19" fillId="3" borderId="0" xfId="36" applyFont="1" applyFill="1" applyAlignment="1">
      <alignment vertical="top"/>
    </xf>
    <xf numFmtId="0" fontId="23" fillId="5" borderId="11" xfId="34" applyFont="1" applyFill="1" applyBorder="1" applyAlignment="1">
      <alignment horizontal="center" vertical="center" wrapText="1"/>
    </xf>
    <xf numFmtId="4" fontId="24" fillId="0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0" xfId="27" applyFont="1"/>
    <xf numFmtId="49" fontId="20" fillId="0" borderId="0" xfId="36" applyNumberFormat="1" applyFont="1" applyAlignment="1">
      <alignment horizontal="left" vertical="center"/>
    </xf>
    <xf numFmtId="0" fontId="10" fillId="2" borderId="4" xfId="33" applyFont="1" applyFill="1" applyBorder="1" applyAlignment="1" applyProtection="1">
      <alignment vertical="center" wrapText="1"/>
      <protection locked="0"/>
    </xf>
    <xf numFmtId="0" fontId="19" fillId="0" borderId="15" xfId="36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18" fillId="0" borderId="14" xfId="34" applyFont="1" applyBorder="1" applyAlignment="1" applyProtection="1">
      <alignment horizontal="center" vertical="center"/>
      <protection locked="0"/>
    </xf>
    <xf numFmtId="0" fontId="18" fillId="3" borderId="14" xfId="34" applyFont="1" applyFill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>
      <alignment horizontal="center" vertical="center" wrapText="1"/>
    </xf>
    <xf numFmtId="4" fontId="0" fillId="0" borderId="11" xfId="0" applyNumberFormat="1" applyBorder="1" applyAlignment="1">
      <alignment horizontal="left" vertical="center" wrapText="1"/>
    </xf>
    <xf numFmtId="4" fontId="0" fillId="0" borderId="11" xfId="0" applyNumberFormat="1" applyBorder="1" applyAlignment="1">
      <alignment horizontal="center" vertical="center" wrapText="1"/>
    </xf>
    <xf numFmtId="2" fontId="19" fillId="0" borderId="16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0" fontId="19" fillId="3" borderId="18" xfId="36" applyFont="1" applyFill="1" applyBorder="1" applyAlignment="1">
      <alignment horizontal="center" vertical="center"/>
    </xf>
    <xf numFmtId="4" fontId="17" fillId="2" borderId="11" xfId="0" applyNumberFormat="1" applyFont="1" applyFill="1" applyBorder="1" applyAlignment="1">
      <alignment horizontal="left" vertical="center" wrapText="1"/>
    </xf>
    <xf numFmtId="4" fontId="24" fillId="3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0" fillId="0" borderId="11" xfId="34" applyFon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left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4" fontId="42" fillId="0" borderId="11" xfId="0" applyNumberFormat="1" applyFont="1" applyBorder="1" applyAlignment="1">
      <alignment horizontal="left" vertical="center" wrapText="1"/>
    </xf>
    <xf numFmtId="4" fontId="0" fillId="3" borderId="11" xfId="0" applyNumberFormat="1" applyFill="1" applyBorder="1" applyAlignment="1">
      <alignment horizontal="center" vertical="center" wrapText="1"/>
    </xf>
    <xf numFmtId="3" fontId="0" fillId="3" borderId="13" xfId="0" applyNumberFormat="1" applyFill="1" applyBorder="1" applyAlignment="1">
      <alignment horizontal="center" vertical="center" wrapText="1"/>
    </xf>
    <xf numFmtId="0" fontId="23" fillId="3" borderId="11" xfId="34" applyFont="1" applyFill="1" applyBorder="1" applyAlignment="1">
      <alignment horizontal="center" vertical="center" wrapText="1"/>
    </xf>
    <xf numFmtId="4" fontId="0" fillId="3" borderId="11" xfId="0" applyNumberFormat="1" applyFill="1" applyBorder="1" applyAlignment="1">
      <alignment horizontal="left" vertical="center" wrapText="1"/>
    </xf>
    <xf numFmtId="4" fontId="42" fillId="6" borderId="11" xfId="0" applyNumberFormat="1" applyFont="1" applyFill="1" applyBorder="1" applyAlignment="1">
      <alignment horizontal="left" vertical="center" wrapText="1"/>
    </xf>
    <xf numFmtId="0" fontId="0" fillId="5" borderId="11" xfId="34" applyFont="1" applyFill="1" applyBorder="1" applyAlignment="1" applyProtection="1">
      <alignment horizontal="left" vertical="center" wrapText="1" indent="1"/>
      <protection locked="0"/>
    </xf>
    <xf numFmtId="0" fontId="9" fillId="5" borderId="11" xfId="34" applyFont="1" applyFill="1" applyBorder="1" applyAlignment="1" applyProtection="1">
      <alignment horizontal="left" vertical="center" wrapText="1" indent="1"/>
      <protection locked="0"/>
    </xf>
    <xf numFmtId="4" fontId="42" fillId="2" borderId="11" xfId="0" applyNumberFormat="1" applyFont="1" applyFill="1" applyBorder="1" applyAlignment="1">
      <alignment horizontal="left" vertical="center" wrapText="1"/>
    </xf>
    <xf numFmtId="0" fontId="19" fillId="0" borderId="19" xfId="36" applyFont="1" applyBorder="1" applyAlignment="1">
      <alignment horizontal="center" vertical="center"/>
    </xf>
    <xf numFmtId="0" fontId="19" fillId="0" borderId="20" xfId="36" applyFont="1" applyBorder="1" applyAlignment="1">
      <alignment horizontal="center" vertical="center"/>
    </xf>
    <xf numFmtId="0" fontId="18" fillId="0" borderId="20" xfId="34" applyFont="1" applyBorder="1" applyAlignment="1" applyProtection="1">
      <alignment horizontal="left" vertical="center" wrapText="1" indent="1"/>
      <protection locked="0"/>
    </xf>
    <xf numFmtId="0" fontId="18" fillId="0" borderId="20" xfId="34" applyFont="1" applyBorder="1" applyAlignment="1" applyProtection="1">
      <alignment horizontal="center" vertical="center"/>
      <protection locked="0"/>
    </xf>
    <xf numFmtId="2" fontId="19" fillId="0" borderId="20" xfId="36" applyNumberFormat="1" applyFont="1" applyBorder="1" applyAlignment="1">
      <alignment horizontal="center" vertical="center"/>
    </xf>
    <xf numFmtId="0" fontId="23" fillId="5" borderId="11" xfId="41" applyFont="1" applyFill="1" applyBorder="1" applyAlignment="1">
      <alignment horizontal="center" vertical="center" wrapText="1"/>
    </xf>
    <xf numFmtId="2" fontId="9" fillId="5" borderId="11" xfId="34" applyNumberFormat="1" applyFont="1" applyFill="1" applyBorder="1" applyAlignment="1" applyProtection="1">
      <alignment horizontal="center" vertical="center"/>
      <protection locked="0"/>
    </xf>
    <xf numFmtId="0" fontId="9" fillId="5" borderId="11" xfId="34" applyFont="1" applyFill="1" applyBorder="1" applyAlignment="1" applyProtection="1">
      <alignment horizontal="center" vertical="center"/>
      <protection locked="0"/>
    </xf>
    <xf numFmtId="0" fontId="9" fillId="5" borderId="12" xfId="34" applyFont="1" applyFill="1" applyBorder="1" applyAlignment="1">
      <alignment horizontal="center" vertical="center" wrapText="1"/>
    </xf>
    <xf numFmtId="0" fontId="0" fillId="5" borderId="11" xfId="34" applyFont="1" applyFill="1" applyBorder="1" applyAlignment="1" applyProtection="1">
      <alignment vertical="center" wrapText="1"/>
      <protection locked="0"/>
    </xf>
    <xf numFmtId="0" fontId="9" fillId="3" borderId="12" xfId="34" applyFont="1" applyFill="1" applyBorder="1" applyAlignment="1">
      <alignment horizontal="center" vertical="center" wrapText="1"/>
    </xf>
    <xf numFmtId="0" fontId="23" fillId="3" borderId="11" xfId="41" applyFont="1" applyFill="1" applyBorder="1" applyAlignment="1">
      <alignment horizontal="center" vertical="center" wrapText="1"/>
    </xf>
    <xf numFmtId="0" fontId="0" fillId="3" borderId="11" xfId="34" applyFont="1" applyFill="1" applyBorder="1" applyAlignment="1" applyProtection="1">
      <alignment horizontal="left" vertical="center" wrapText="1" indent="1"/>
      <protection locked="0"/>
    </xf>
    <xf numFmtId="0" fontId="9" fillId="3" borderId="11" xfId="34" applyFont="1" applyFill="1" applyBorder="1" applyAlignment="1" applyProtection="1">
      <alignment horizontal="center" vertical="center"/>
      <protection locked="0"/>
    </xf>
    <xf numFmtId="2" fontId="9" fillId="3" borderId="11" xfId="34" applyNumberFormat="1" applyFont="1" applyFill="1" applyBorder="1" applyAlignment="1" applyProtection="1">
      <alignment horizontal="center" vertical="center"/>
      <protection locked="0"/>
    </xf>
    <xf numFmtId="0" fontId="0" fillId="3" borderId="11" xfId="34" applyFont="1" applyFill="1" applyBorder="1" applyAlignment="1" applyProtection="1">
      <alignment vertical="center" wrapText="1"/>
      <protection locked="0"/>
    </xf>
    <xf numFmtId="0" fontId="9" fillId="3" borderId="12" xfId="34" applyFont="1" applyFill="1" applyBorder="1" applyAlignment="1">
      <alignment horizontal="center" vertical="top" wrapText="1"/>
    </xf>
    <xf numFmtId="0" fontId="9" fillId="3" borderId="11" xfId="34" applyFont="1" applyFill="1" applyBorder="1" applyAlignment="1" applyProtection="1">
      <alignment horizontal="left" vertical="center" wrapText="1" indent="1"/>
      <protection locked="0"/>
    </xf>
    <xf numFmtId="0" fontId="9" fillId="3" borderId="11" xfId="34" applyFont="1" applyFill="1" applyBorder="1" applyAlignment="1" applyProtection="1">
      <alignment vertical="center" wrapText="1"/>
      <protection locked="0"/>
    </xf>
    <xf numFmtId="0" fontId="23" fillId="3" borderId="11" xfId="34" applyFont="1" applyFill="1" applyBorder="1" applyAlignment="1" applyProtection="1">
      <alignment horizontal="left" vertical="center" wrapText="1" indent="1"/>
      <protection locked="0"/>
    </xf>
    <xf numFmtId="0" fontId="53" fillId="0" borderId="21" xfId="49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10" fillId="7" borderId="23" xfId="49" applyNumberFormat="1" applyFont="1" applyFill="1" applyBorder="1" applyAlignment="1" applyProtection="1">
      <alignment vertical="center" wrapText="1"/>
      <protection locked="0"/>
    </xf>
    <xf numFmtId="0" fontId="28" fillId="0" borderId="22" xfId="49" applyFont="1" applyBorder="1" applyAlignment="1" applyProtection="1">
      <alignment horizontal="center" vertical="center"/>
      <protection locked="0"/>
    </xf>
    <xf numFmtId="0" fontId="28" fillId="8" borderId="22" xfId="49" applyFont="1" applyFill="1" applyBorder="1" applyAlignment="1" applyProtection="1">
      <alignment horizontal="center" vertical="center"/>
      <protection locked="0"/>
    </xf>
    <xf numFmtId="0" fontId="0" fillId="8" borderId="21" xfId="49" applyFont="1" applyFill="1" applyBorder="1" applyAlignment="1">
      <alignment horizontal="center" vertical="top" wrapText="1"/>
    </xf>
    <xf numFmtId="0" fontId="23" fillId="8" borderId="22" xfId="49" applyNumberFormat="1" applyFont="1" applyFill="1" applyBorder="1" applyAlignment="1">
      <alignment horizontal="center" vertical="center" wrapText="1"/>
    </xf>
    <xf numFmtId="0" fontId="28" fillId="8" borderId="22" xfId="49" applyFont="1" applyFill="1" applyBorder="1" applyAlignment="1" applyProtection="1">
      <alignment vertical="center" wrapText="1"/>
      <protection locked="0"/>
    </xf>
    <xf numFmtId="2" fontId="0" fillId="8" borderId="22" xfId="49" applyNumberFormat="1" applyFont="1" applyFill="1" applyBorder="1" applyAlignment="1" applyProtection="1">
      <alignment horizontal="center" vertical="center"/>
      <protection locked="0"/>
    </xf>
    <xf numFmtId="0" fontId="11" fillId="8" borderId="21" xfId="49" applyFont="1" applyFill="1" applyBorder="1" applyAlignment="1">
      <alignment horizontal="center" vertical="top" wrapText="1"/>
    </xf>
    <xf numFmtId="0" fontId="28" fillId="8" borderId="22" xfId="49" applyFont="1" applyFill="1" applyBorder="1" applyAlignment="1" applyProtection="1">
      <alignment horizontal="left" vertical="center" wrapText="1" indent="1"/>
      <protection locked="0"/>
    </xf>
    <xf numFmtId="0" fontId="0" fillId="8" borderId="22" xfId="49" applyFont="1" applyFill="1" applyBorder="1" applyAlignment="1" applyProtection="1">
      <alignment horizontal="center" vertical="center"/>
      <protection locked="0"/>
    </xf>
    <xf numFmtId="0" fontId="53" fillId="8" borderId="21" xfId="49" applyNumberFormat="1" applyFont="1" applyFill="1" applyBorder="1" applyAlignment="1">
      <alignment horizontal="center" vertical="center"/>
    </xf>
    <xf numFmtId="0" fontId="23" fillId="0" borderId="22" xfId="49" applyNumberFormat="1" applyFont="1" applyBorder="1" applyAlignment="1">
      <alignment horizontal="center" vertical="center" wrapText="1"/>
    </xf>
    <xf numFmtId="0" fontId="0" fillId="8" borderId="22" xfId="49" applyFont="1" applyFill="1" applyBorder="1" applyAlignment="1" applyProtection="1">
      <alignment vertical="center" wrapText="1"/>
      <protection locked="0"/>
    </xf>
    <xf numFmtId="2" fontId="53" fillId="8" borderId="22" xfId="49" applyNumberFormat="1" applyFont="1" applyFill="1" applyBorder="1" applyAlignment="1">
      <alignment horizontal="center" vertical="center"/>
    </xf>
    <xf numFmtId="0" fontId="46" fillId="8" borderId="22" xfId="49" applyFont="1" applyFill="1" applyBorder="1" applyAlignment="1" applyProtection="1">
      <alignment horizontal="center" vertical="center" wrapText="1"/>
      <protection locked="0"/>
    </xf>
    <xf numFmtId="3" fontId="0" fillId="8" borderId="21" xfId="0" applyNumberFormat="1" applyFont="1" applyFill="1" applyBorder="1" applyAlignment="1">
      <alignment horizontal="center" vertical="center" wrapText="1"/>
    </xf>
    <xf numFmtId="0" fontId="23" fillId="8" borderId="22" xfId="49" applyFont="1" applyFill="1" applyBorder="1" applyAlignment="1">
      <alignment horizontal="center" vertical="center" wrapText="1"/>
    </xf>
    <xf numFmtId="4" fontId="0" fillId="8" borderId="22" xfId="0" applyNumberFormat="1" applyFont="1" applyFill="1" applyBorder="1" applyAlignment="1">
      <alignment horizontal="left" vertical="center" wrapText="1"/>
    </xf>
    <xf numFmtId="4" fontId="53" fillId="8" borderId="22" xfId="0" applyNumberFormat="1" applyFont="1" applyFill="1" applyBorder="1" applyAlignment="1">
      <alignment horizontal="center" vertical="center" wrapText="1"/>
    </xf>
    <xf numFmtId="2" fontId="53" fillId="8" borderId="22" xfId="0" applyNumberFormat="1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0" fontId="23" fillId="0" borderId="22" xfId="49" applyFont="1" applyBorder="1" applyAlignment="1">
      <alignment horizontal="center" vertical="center" wrapText="1"/>
    </xf>
    <xf numFmtId="4" fontId="0" fillId="0" borderId="22" xfId="0" applyNumberFormat="1" applyFont="1" applyBorder="1" applyAlignment="1">
      <alignment horizontal="left" vertical="center" wrapText="1"/>
    </xf>
    <xf numFmtId="4" fontId="53" fillId="0" borderId="22" xfId="0" applyNumberFormat="1" applyFont="1" applyBorder="1" applyAlignment="1">
      <alignment horizontal="center" vertical="center" wrapText="1"/>
    </xf>
    <xf numFmtId="2" fontId="53" fillId="0" borderId="22" xfId="0" applyNumberFormat="1" applyFont="1" applyBorder="1" applyAlignment="1">
      <alignment horizontal="center" vertical="center" wrapText="1"/>
    </xf>
    <xf numFmtId="0" fontId="53" fillId="0" borderId="24" xfId="49" applyNumberFormat="1" applyFont="1" applyBorder="1" applyAlignment="1">
      <alignment horizontal="center" vertical="center"/>
    </xf>
    <xf numFmtId="0" fontId="53" fillId="8" borderId="23" xfId="49" applyNumberFormat="1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23" fillId="8" borderId="22" xfId="0" applyFont="1" applyFill="1" applyBorder="1" applyAlignment="1">
      <alignment horizontal="left" vertical="center" wrapText="1"/>
    </xf>
    <xf numFmtId="0" fontId="23" fillId="8" borderId="22" xfId="49" applyNumberFormat="1" applyFont="1" applyFill="1" applyBorder="1" applyAlignment="1">
      <alignment horizontal="left" vertical="center" wrapText="1"/>
    </xf>
    <xf numFmtId="0" fontId="0" fillId="8" borderId="22" xfId="49" applyNumberFormat="1" applyFont="1" applyFill="1" applyBorder="1" applyAlignment="1">
      <alignment vertical="center" wrapText="1"/>
    </xf>
    <xf numFmtId="0" fontId="0" fillId="8" borderId="22" xfId="49" applyNumberFormat="1" applyFont="1" applyFill="1" applyBorder="1" applyAlignment="1">
      <alignment horizontal="left" vertical="top" wrapText="1"/>
    </xf>
    <xf numFmtId="0" fontId="53" fillId="8" borderId="22" xfId="49" applyNumberFormat="1" applyFont="1" applyFill="1" applyBorder="1" applyAlignment="1">
      <alignment horizontal="center" vertical="top" wrapText="1"/>
    </xf>
    <xf numFmtId="0" fontId="0" fillId="8" borderId="22" xfId="0" applyFont="1" applyFill="1" applyBorder="1" applyAlignment="1">
      <alignment horizontal="left" vertical="center" wrapText="1"/>
    </xf>
    <xf numFmtId="0" fontId="53" fillId="8" borderId="22" xfId="0" applyFont="1" applyFill="1" applyBorder="1" applyAlignment="1">
      <alignment horizontal="center" vertical="center" wrapText="1"/>
    </xf>
    <xf numFmtId="1" fontId="53" fillId="8" borderId="22" xfId="0" applyNumberFormat="1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56" fillId="0" borderId="23" xfId="49" applyFont="1" applyBorder="1" applyAlignment="1" applyProtection="1">
      <alignment horizontal="center" vertical="center"/>
      <protection locked="0"/>
    </xf>
    <xf numFmtId="0" fontId="56" fillId="8" borderId="23" xfId="49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7" fillId="0" borderId="22" xfId="49" applyNumberFormat="1" applyFont="1" applyBorder="1" applyAlignment="1">
      <alignment vertical="center" wrapText="1"/>
    </xf>
    <xf numFmtId="0" fontId="54" fillId="0" borderId="22" xfId="49" applyNumberFormat="1" applyFont="1" applyBorder="1" applyAlignment="1">
      <alignment vertical="center" wrapText="1"/>
    </xf>
    <xf numFmtId="0" fontId="17" fillId="8" borderId="22" xfId="49" applyNumberFormat="1" applyFont="1" applyFill="1" applyBorder="1" applyAlignment="1">
      <alignment horizontal="left" vertical="center" wrapText="1"/>
    </xf>
    <xf numFmtId="0" fontId="0" fillId="8" borderId="22" xfId="0" applyFont="1" applyFill="1" applyBorder="1" applyAlignment="1">
      <alignment horizontal="left" vertical="top" wrapText="1"/>
    </xf>
    <xf numFmtId="0" fontId="0" fillId="8" borderId="22" xfId="0" applyFont="1" applyFill="1" applyBorder="1"/>
    <xf numFmtId="0" fontId="0" fillId="8" borderId="22" xfId="0" applyFont="1" applyFill="1" applyBorder="1" applyAlignment="1">
      <alignment wrapText="1"/>
    </xf>
    <xf numFmtId="0" fontId="0" fillId="8" borderId="22" xfId="49" applyNumberFormat="1" applyFont="1" applyFill="1" applyBorder="1" applyAlignment="1">
      <alignment horizontal="left" vertical="center" wrapText="1"/>
    </xf>
    <xf numFmtId="0" fontId="28" fillId="0" borderId="23" xfId="49" applyFont="1" applyBorder="1" applyAlignment="1" applyProtection="1">
      <alignment horizontal="center" vertical="center"/>
      <protection locked="0"/>
    </xf>
    <xf numFmtId="0" fontId="28" fillId="8" borderId="23" xfId="49" applyFont="1" applyFill="1" applyBorder="1" applyAlignment="1" applyProtection="1">
      <alignment horizontal="center" vertical="center"/>
      <protection locked="0"/>
    </xf>
    <xf numFmtId="0" fontId="17" fillId="0" borderId="22" xfId="49" applyNumberFormat="1" applyFont="1" applyBorder="1" applyAlignment="1">
      <alignment horizontal="left" vertical="center" wrapText="1"/>
    </xf>
    <xf numFmtId="0" fontId="0" fillId="0" borderId="22" xfId="49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2" fontId="0" fillId="8" borderId="22" xfId="49" applyNumberFormat="1" applyFont="1" applyFill="1" applyBorder="1" applyAlignment="1">
      <alignment vertical="center" wrapText="1"/>
    </xf>
    <xf numFmtId="0" fontId="28" fillId="8" borderId="22" xfId="0" applyFont="1" applyFill="1" applyBorder="1" applyAlignment="1">
      <alignment horizontal="center" vertical="center"/>
    </xf>
    <xf numFmtId="0" fontId="0" fillId="0" borderId="22" xfId="0" applyFont="1" applyBorder="1"/>
    <xf numFmtId="0" fontId="0" fillId="0" borderId="22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center" vertical="center"/>
    </xf>
    <xf numFmtId="1" fontId="28" fillId="8" borderId="22" xfId="49" applyNumberFormat="1" applyFont="1" applyFill="1" applyBorder="1" applyAlignment="1">
      <alignment horizontal="center"/>
    </xf>
    <xf numFmtId="1" fontId="28" fillId="8" borderId="22" xfId="0" applyNumberFormat="1" applyFont="1" applyFill="1" applyBorder="1" applyAlignment="1">
      <alignment horizontal="center" vertical="center" wrapText="1"/>
    </xf>
    <xf numFmtId="2" fontId="25" fillId="8" borderId="22" xfId="49" applyNumberFormat="1" applyFont="1" applyFill="1" applyBorder="1" applyAlignment="1">
      <alignment horizontal="center" vertical="center" wrapText="1"/>
    </xf>
    <xf numFmtId="2" fontId="40" fillId="8" borderId="22" xfId="49" applyNumberFormat="1" applyFont="1" applyFill="1" applyBorder="1" applyAlignment="1">
      <alignment vertical="center" wrapText="1"/>
    </xf>
    <xf numFmtId="2" fontId="57" fillId="8" borderId="22" xfId="49" applyNumberFormat="1" applyFont="1" applyFill="1" applyBorder="1" applyAlignment="1">
      <alignment vertical="center" wrapText="1"/>
    </xf>
    <xf numFmtId="2" fontId="23" fillId="8" borderId="22" xfId="49" applyNumberFormat="1" applyFont="1" applyFill="1" applyBorder="1" applyAlignment="1">
      <alignment vertical="center" wrapText="1"/>
    </xf>
    <xf numFmtId="0" fontId="57" fillId="0" borderId="22" xfId="0" applyFont="1" applyBorder="1" applyAlignment="1">
      <alignment horizontal="left" vertical="center" wrapText="1"/>
    </xf>
    <xf numFmtId="0" fontId="57" fillId="8" borderId="22" xfId="49" applyNumberFormat="1" applyFont="1" applyFill="1" applyBorder="1" applyAlignment="1">
      <alignment horizontal="left" vertical="center" wrapText="1"/>
    </xf>
    <xf numFmtId="49" fontId="17" fillId="8" borderId="22" xfId="49" applyNumberFormat="1" applyFont="1" applyFill="1" applyBorder="1" applyAlignment="1">
      <alignment horizontal="left" vertical="top" wrapText="1"/>
    </xf>
    <xf numFmtId="0" fontId="17" fillId="0" borderId="22" xfId="49" applyNumberFormat="1" applyFont="1" applyBorder="1" applyAlignment="1"/>
    <xf numFmtId="49" fontId="0" fillId="8" borderId="22" xfId="49" applyNumberFormat="1" applyFont="1" applyFill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1" fontId="0" fillId="8" borderId="22" xfId="0" applyNumberFormat="1" applyFont="1" applyFill="1" applyBorder="1" applyAlignment="1">
      <alignment horizontal="center" vertical="center" wrapText="1"/>
    </xf>
    <xf numFmtId="2" fontId="0" fillId="8" borderId="22" xfId="49" applyNumberFormat="1" applyFont="1" applyFill="1" applyBorder="1" applyAlignment="1">
      <alignment vertical="center"/>
    </xf>
    <xf numFmtId="0" fontId="0" fillId="0" borderId="22" xfId="0" applyFont="1" applyBorder="1" applyAlignment="1">
      <alignment horizontal="left" vertical="center"/>
    </xf>
    <xf numFmtId="0" fontId="0" fillId="0" borderId="22" xfId="0" applyFont="1" applyBorder="1" applyAlignment="1">
      <alignment horizontal="center" wrapText="1"/>
    </xf>
    <xf numFmtId="0" fontId="0" fillId="0" borderId="22" xfId="0" applyFont="1" applyBorder="1" applyAlignment="1">
      <alignment vertical="center" wrapText="1"/>
    </xf>
    <xf numFmtId="1" fontId="0" fillId="0" borderId="2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wrapText="1"/>
    </xf>
    <xf numFmtId="0" fontId="0" fillId="0" borderId="22" xfId="0" applyFont="1" applyBorder="1" applyAlignment="1">
      <alignment horizontal="left"/>
    </xf>
    <xf numFmtId="49" fontId="58" fillId="8" borderId="21" xfId="0" applyNumberFormat="1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left" vertical="center" wrapText="1"/>
    </xf>
    <xf numFmtId="0" fontId="0" fillId="8" borderId="22" xfId="49" applyNumberFormat="1" applyFont="1" applyFill="1" applyBorder="1" applyAlignment="1">
      <alignment horizontal="center" vertical="center" wrapText="1"/>
    </xf>
    <xf numFmtId="49" fontId="59" fillId="8" borderId="21" xfId="0" applyNumberFormat="1" applyFont="1" applyFill="1" applyBorder="1" applyAlignment="1">
      <alignment horizontal="center" vertical="center"/>
    </xf>
    <xf numFmtId="0" fontId="0" fillId="8" borderId="22" xfId="49" applyNumberFormat="1" applyFont="1" applyFill="1" applyBorder="1" applyAlignment="1">
      <alignment horizontal="center" vertical="center"/>
    </xf>
    <xf numFmtId="0" fontId="0" fillId="8" borderId="22" xfId="49" applyFont="1" applyFill="1" applyBorder="1" applyAlignment="1">
      <alignment horizontal="center" vertical="center"/>
    </xf>
    <xf numFmtId="0" fontId="41" fillId="8" borderId="22" xfId="0" applyFont="1" applyFill="1" applyBorder="1" applyAlignment="1">
      <alignment horizontal="left" vertical="center" wrapText="1"/>
    </xf>
    <xf numFmtId="49" fontId="41" fillId="8" borderId="21" xfId="0" applyNumberFormat="1" applyFont="1" applyFill="1" applyBorder="1" applyAlignment="1">
      <alignment horizontal="center" vertical="center"/>
    </xf>
    <xf numFmtId="0" fontId="0" fillId="8" borderId="22" xfId="49" applyNumberFormat="1" applyFont="1" applyFill="1" applyBorder="1" applyAlignment="1">
      <alignment vertical="center"/>
    </xf>
    <xf numFmtId="0" fontId="53" fillId="8" borderId="22" xfId="0" applyFont="1" applyFill="1" applyBorder="1" applyAlignment="1">
      <alignment horizontal="left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60" fillId="8" borderId="25" xfId="0" applyFont="1" applyFill="1" applyBorder="1" applyAlignment="1">
      <alignment horizontal="left" vertical="center" wrapText="1"/>
    </xf>
    <xf numFmtId="0" fontId="53" fillId="8" borderId="25" xfId="0" applyFont="1" applyFill="1" applyBorder="1" applyAlignment="1">
      <alignment horizontal="left" vertical="center" wrapText="1"/>
    </xf>
    <xf numFmtId="0" fontId="0" fillId="8" borderId="25" xfId="0" applyFont="1" applyFill="1" applyBorder="1" applyAlignment="1">
      <alignment horizontal="left" vertical="center" wrapText="1"/>
    </xf>
    <xf numFmtId="0" fontId="44" fillId="8" borderId="25" xfId="0" applyFont="1" applyFill="1" applyBorder="1" applyAlignment="1">
      <alignment horizontal="left" vertical="center" wrapText="1"/>
    </xf>
    <xf numFmtId="0" fontId="53" fillId="8" borderId="22" xfId="0" applyFont="1" applyFill="1" applyBorder="1"/>
    <xf numFmtId="0" fontId="17" fillId="8" borderId="22" xfId="0" applyFont="1" applyFill="1" applyBorder="1" applyAlignment="1">
      <alignment horizontal="center" vertical="center" wrapText="1"/>
    </xf>
    <xf numFmtId="0" fontId="59" fillId="8" borderId="21" xfId="0" applyFont="1" applyFill="1" applyBorder="1" applyAlignment="1">
      <alignment horizontal="center" vertical="center" wrapText="1"/>
    </xf>
    <xf numFmtId="0" fontId="53" fillId="0" borderId="23" xfId="49" applyNumberFormat="1" applyFont="1" applyBorder="1" applyAlignment="1">
      <alignment horizontal="center" vertical="center"/>
    </xf>
    <xf numFmtId="2" fontId="53" fillId="0" borderId="23" xfId="49" applyNumberFormat="1" applyFont="1" applyBorder="1" applyAlignment="1">
      <alignment horizontal="center" vertical="center"/>
    </xf>
    <xf numFmtId="0" fontId="17" fillId="0" borderId="22" xfId="49" applyNumberFormat="1" applyFont="1" applyBorder="1" applyAlignment="1">
      <alignment wrapText="1"/>
    </xf>
    <xf numFmtId="0" fontId="17" fillId="0" borderId="22" xfId="0" applyFont="1" applyBorder="1"/>
    <xf numFmtId="0" fontId="0" fillId="0" borderId="22" xfId="0" applyFont="1" applyBorder="1" applyAlignment="1">
      <alignment horizontal="center"/>
    </xf>
    <xf numFmtId="0" fontId="17" fillId="0" borderId="22" xfId="49" applyNumberFormat="1" applyFont="1" applyBorder="1" applyAlignment="1">
      <alignment horizontal="center"/>
    </xf>
    <xf numFmtId="0" fontId="17" fillId="8" borderId="22" xfId="49" applyNumberFormat="1" applyFont="1" applyFill="1" applyBorder="1" applyAlignment="1">
      <alignment wrapText="1"/>
    </xf>
    <xf numFmtId="0" fontId="17" fillId="8" borderId="22" xfId="49" applyNumberFormat="1" applyFont="1" applyFill="1" applyBorder="1" applyAlignment="1"/>
    <xf numFmtId="0" fontId="17" fillId="8" borderId="22" xfId="0" applyFont="1" applyFill="1" applyBorder="1"/>
    <xf numFmtId="0" fontId="0" fillId="8" borderId="22" xfId="0" applyFont="1" applyFill="1" applyBorder="1" applyAlignment="1">
      <alignment horizontal="center"/>
    </xf>
    <xf numFmtId="0" fontId="53" fillId="8" borderId="22" xfId="0" applyFont="1" applyFill="1" applyBorder="1" applyAlignment="1">
      <alignment horizontal="center"/>
    </xf>
    <xf numFmtId="0" fontId="0" fillId="8" borderId="22" xfId="49" applyNumberFormat="1" applyFont="1" applyFill="1" applyBorder="1" applyAlignment="1">
      <alignment horizontal="left" wrapText="1"/>
    </xf>
    <xf numFmtId="0" fontId="17" fillId="8" borderId="22" xfId="0" applyFont="1" applyFill="1" applyBorder="1" applyAlignment="1">
      <alignment horizontal="center"/>
    </xf>
    <xf numFmtId="0" fontId="54" fillId="8" borderId="22" xfId="49" applyNumberFormat="1" applyFont="1" applyFill="1" applyBorder="1" applyAlignment="1"/>
    <xf numFmtId="0" fontId="17" fillId="0" borderId="22" xfId="0" applyFont="1" applyBorder="1" applyAlignment="1">
      <alignment horizontal="center" vertical="center"/>
    </xf>
    <xf numFmtId="2" fontId="25" fillId="8" borderId="22" xfId="49" applyNumberFormat="1" applyFont="1" applyFill="1" applyBorder="1" applyAlignment="1">
      <alignment vertical="center" wrapText="1"/>
    </xf>
    <xf numFmtId="0" fontId="23" fillId="0" borderId="22" xfId="49" applyNumberFormat="1" applyFont="1" applyBorder="1" applyAlignment="1">
      <alignment horizontal="left" vertical="center" wrapText="1"/>
    </xf>
    <xf numFmtId="1" fontId="23" fillId="0" borderId="22" xfId="0" applyNumberFormat="1" applyFont="1" applyBorder="1" applyAlignment="1">
      <alignment horizontal="center" vertical="center" wrapText="1"/>
    </xf>
    <xf numFmtId="1" fontId="23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22" xfId="49" applyNumberFormat="1" applyFont="1" applyBorder="1" applyAlignment="1">
      <alignment horizontal="center" vertical="center"/>
    </xf>
    <xf numFmtId="0" fontId="23" fillId="8" borderId="22" xfId="49" applyNumberFormat="1" applyFont="1" applyFill="1" applyBorder="1" applyAlignment="1">
      <alignment horizontal="center" vertical="center"/>
    </xf>
    <xf numFmtId="1" fontId="23" fillId="8" borderId="22" xfId="0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horizontal="left" wrapText="1"/>
    </xf>
    <xf numFmtId="0" fontId="25" fillId="0" borderId="22" xfId="49" applyFont="1" applyBorder="1" applyAlignment="1">
      <alignment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2" xfId="49" applyFont="1" applyBorder="1" applyAlignment="1">
      <alignment horizontal="left" vertical="center" wrapText="1"/>
    </xf>
    <xf numFmtId="0" fontId="0" fillId="0" borderId="22" xfId="49" applyNumberFormat="1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0" fillId="0" borderId="22" xfId="49" applyNumberFormat="1" applyFont="1" applyBorder="1" applyAlignment="1">
      <alignment vertical="center" wrapText="1"/>
    </xf>
    <xf numFmtId="0" fontId="23" fillId="0" borderId="22" xfId="49" applyNumberFormat="1" applyFont="1" applyBorder="1" applyAlignment="1">
      <alignment horizontal="left"/>
    </xf>
    <xf numFmtId="0" fontId="23" fillId="0" borderId="22" xfId="49" applyNumberFormat="1" applyFont="1" applyBorder="1" applyAlignment="1">
      <alignment horizontal="left" vertical="center"/>
    </xf>
    <xf numFmtId="0" fontId="23" fillId="0" borderId="22" xfId="49" applyNumberFormat="1" applyFont="1" applyBorder="1" applyAlignment="1">
      <alignment horizontal="center"/>
    </xf>
    <xf numFmtId="1" fontId="23" fillId="0" borderId="22" xfId="49" applyNumberFormat="1" applyFont="1" applyBorder="1" applyAlignment="1">
      <alignment horizontal="center"/>
    </xf>
    <xf numFmtId="1" fontId="23" fillId="0" borderId="22" xfId="49" applyNumberFormat="1" applyFont="1" applyBorder="1" applyAlignment="1">
      <alignment horizontal="center" vertical="center"/>
    </xf>
    <xf numFmtId="0" fontId="28" fillId="0" borderId="22" xfId="49" applyNumberFormat="1" applyFont="1" applyBorder="1" applyAlignment="1">
      <alignment horizontal="left" vertical="center" wrapText="1"/>
    </xf>
    <xf numFmtId="0" fontId="0" fillId="8" borderId="22" xfId="49" applyNumberFormat="1" applyFont="1" applyFill="1" applyBorder="1" applyAlignment="1">
      <alignment horizontal="center"/>
    </xf>
    <xf numFmtId="1" fontId="0" fillId="0" borderId="22" xfId="49" applyNumberFormat="1" applyFont="1" applyBorder="1" applyAlignment="1">
      <alignment horizontal="center" vertical="center"/>
    </xf>
    <xf numFmtId="0" fontId="23" fillId="0" borderId="22" xfId="49" applyNumberFormat="1" applyFont="1" applyBorder="1" applyAlignment="1">
      <alignment vertical="center" wrapText="1"/>
    </xf>
    <xf numFmtId="0" fontId="23" fillId="0" borderId="22" xfId="0" applyFont="1" applyBorder="1" applyAlignment="1">
      <alignment horizontal="right" vertical="center" wrapText="1"/>
    </xf>
    <xf numFmtId="0" fontId="23" fillId="0" borderId="22" xfId="49" applyNumberFormat="1" applyFont="1" applyBorder="1" applyAlignment="1">
      <alignment horizontal="right" vertical="center" wrapText="1"/>
    </xf>
    <xf numFmtId="2" fontId="0" fillId="0" borderId="22" xfId="0" applyNumberFormat="1" applyFont="1" applyBorder="1" applyAlignment="1">
      <alignment horizontal="center" vertical="center" wrapText="1"/>
    </xf>
    <xf numFmtId="0" fontId="0" fillId="0" borderId="22" xfId="49" applyNumberFormat="1" applyFont="1" applyBorder="1" applyAlignment="1">
      <alignment horizontal="left" vertical="center" wrapText="1"/>
    </xf>
    <xf numFmtId="2" fontId="23" fillId="0" borderId="22" xfId="49" applyNumberFormat="1" applyFont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9" fillId="0" borderId="22" xfId="0" applyFont="1" applyBorder="1" applyAlignment="1">
      <alignment horizontal="left" vertical="center" wrapText="1"/>
    </xf>
    <xf numFmtId="0" fontId="25" fillId="8" borderId="22" xfId="0" applyFont="1" applyFill="1" applyBorder="1" applyAlignment="1">
      <alignment vertical="center" wrapText="1"/>
    </xf>
    <xf numFmtId="0" fontId="61" fillId="0" borderId="21" xfId="0" applyFont="1" applyFill="1" applyBorder="1" applyAlignment="1">
      <alignment horizontal="center" vertical="center"/>
    </xf>
    <xf numFmtId="0" fontId="62" fillId="0" borderId="22" xfId="49" applyFont="1" applyFill="1" applyBorder="1" applyAlignment="1">
      <alignment horizontal="center" vertical="center" wrapText="1"/>
    </xf>
    <xf numFmtId="0" fontId="62" fillId="0" borderId="22" xfId="49" applyNumberFormat="1" applyFont="1" applyFill="1" applyBorder="1" applyAlignment="1">
      <alignment vertical="center" wrapText="1"/>
    </xf>
    <xf numFmtId="0" fontId="23" fillId="0" borderId="22" xfId="0" applyFont="1" applyFill="1" applyBorder="1" applyAlignment="1">
      <alignment horizontal="center" vertical="center"/>
    </xf>
    <xf numFmtId="1" fontId="23" fillId="0" borderId="22" xfId="0" applyNumberFormat="1" applyFont="1" applyFill="1" applyBorder="1" applyAlignment="1">
      <alignment horizontal="center" vertical="center"/>
    </xf>
    <xf numFmtId="49" fontId="30" fillId="0" borderId="22" xfId="49" applyNumberFormat="1" applyFont="1" applyBorder="1" applyAlignment="1">
      <alignment horizontal="center" vertical="center" wrapText="1"/>
    </xf>
    <xf numFmtId="49" fontId="31" fillId="8" borderId="22" xfId="0" applyNumberFormat="1" applyFont="1" applyFill="1" applyBorder="1" applyAlignment="1">
      <alignment horizontal="left"/>
    </xf>
    <xf numFmtId="0" fontId="0" fillId="0" borderId="22" xfId="49" applyFont="1" applyBorder="1" applyAlignment="1">
      <alignment horizontal="left" vertical="center" wrapText="1"/>
    </xf>
    <xf numFmtId="0" fontId="0" fillId="0" borderId="22" xfId="49" applyFont="1" applyBorder="1" applyAlignment="1">
      <alignment horizontal="center" vertical="center" wrapText="1"/>
    </xf>
    <xf numFmtId="49" fontId="0" fillId="0" borderId="22" xfId="0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justify" vertical="center" wrapText="1"/>
    </xf>
    <xf numFmtId="49" fontId="0" fillId="8" borderId="22" xfId="49" applyNumberFormat="1" applyFont="1" applyFill="1" applyBorder="1" applyAlignment="1">
      <alignment horizontal="left" vertical="center" wrapText="1"/>
    </xf>
    <xf numFmtId="49" fontId="0" fillId="8" borderId="22" xfId="0" applyNumberFormat="1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/>
    </xf>
    <xf numFmtId="0" fontId="28" fillId="0" borderId="22" xfId="0" applyFont="1" applyBorder="1" applyAlignment="1">
      <alignment horizontal="left" vertical="center" wrapText="1"/>
    </xf>
    <xf numFmtId="49" fontId="0" fillId="0" borderId="22" xfId="49" applyNumberFormat="1" applyFont="1" applyBorder="1" applyAlignment="1">
      <alignment horizontal="left" vertical="center" wrapText="1"/>
    </xf>
    <xf numFmtId="0" fontId="28" fillId="8" borderId="22" xfId="0" applyFont="1" applyFill="1" applyBorder="1" applyAlignment="1">
      <alignment horizontal="center"/>
    </xf>
    <xf numFmtId="49" fontId="31" fillId="0" borderId="22" xfId="0" applyNumberFormat="1" applyFont="1" applyBorder="1" applyAlignment="1">
      <alignment horizontal="center"/>
    </xf>
    <xf numFmtId="49" fontId="28" fillId="0" borderId="22" xfId="49" applyNumberFormat="1" applyFont="1" applyBorder="1" applyAlignment="1">
      <alignment horizontal="left" vertical="center" wrapText="1"/>
    </xf>
    <xf numFmtId="49" fontId="28" fillId="0" borderId="22" xfId="49" applyNumberFormat="1" applyFont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 wrapText="1"/>
    </xf>
    <xf numFmtId="49" fontId="28" fillId="0" borderId="22" xfId="49" applyNumberFormat="1" applyFont="1" applyBorder="1" applyAlignment="1">
      <alignment horizontal="justify" vertical="center" wrapText="1"/>
    </xf>
    <xf numFmtId="0" fontId="31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justify"/>
    </xf>
    <xf numFmtId="49" fontId="0" fillId="0" borderId="22" xfId="49" applyNumberFormat="1" applyFont="1" applyBorder="1" applyAlignment="1">
      <alignment horizontal="justify" vertical="center" wrapText="1"/>
    </xf>
    <xf numFmtId="49" fontId="0" fillId="0" borderId="22" xfId="49" applyNumberFormat="1" applyFont="1" applyBorder="1" applyAlignment="1">
      <alignment horizontal="center" vertical="center"/>
    </xf>
    <xf numFmtId="0" fontId="28" fillId="0" borderId="22" xfId="0" applyFont="1" applyBorder="1" applyAlignment="1">
      <alignment horizontal="justify" vertical="center" wrapText="1"/>
    </xf>
    <xf numFmtId="0" fontId="28" fillId="8" borderId="22" xfId="0" applyFont="1" applyFill="1" applyBorder="1" applyAlignment="1">
      <alignment vertical="top" wrapText="1"/>
    </xf>
    <xf numFmtId="0" fontId="28" fillId="8" borderId="22" xfId="0" applyFont="1" applyFill="1" applyBorder="1" applyAlignment="1">
      <alignment horizontal="center" vertical="top" wrapText="1"/>
    </xf>
    <xf numFmtId="49" fontId="28" fillId="8" borderId="22" xfId="49" applyNumberFormat="1" applyFont="1" applyFill="1" applyBorder="1" applyAlignment="1">
      <alignment horizontal="justify" vertical="center" wrapText="1"/>
    </xf>
    <xf numFmtId="49" fontId="34" fillId="0" borderId="22" xfId="49" applyNumberFormat="1" applyFont="1" applyBorder="1" applyAlignment="1">
      <alignment horizontal="center" vertical="center" wrapText="1"/>
    </xf>
    <xf numFmtId="49" fontId="31" fillId="8" borderId="22" xfId="0" applyNumberFormat="1" applyFont="1" applyFill="1" applyBorder="1" applyAlignment="1">
      <alignment horizontal="center"/>
    </xf>
    <xf numFmtId="49" fontId="28" fillId="0" borderId="22" xfId="0" applyNumberFormat="1" applyFont="1" applyBorder="1" applyAlignment="1">
      <alignment horizontal="center" vertical="center" wrapText="1"/>
    </xf>
    <xf numFmtId="0" fontId="28" fillId="0" borderId="22" xfId="49" applyFont="1" applyBorder="1" applyAlignment="1">
      <alignment horizontal="left" vertical="center" wrapText="1"/>
    </xf>
    <xf numFmtId="0" fontId="28" fillId="0" borderId="22" xfId="49" applyFont="1" applyBorder="1" applyAlignment="1">
      <alignment horizontal="center" vertical="center" wrapText="1"/>
    </xf>
    <xf numFmtId="49" fontId="28" fillId="8" borderId="22" xfId="0" applyNumberFormat="1" applyFont="1" applyFill="1" applyBorder="1" applyAlignment="1">
      <alignment horizontal="center" vertical="center" wrapText="1"/>
    </xf>
    <xf numFmtId="2" fontId="0" fillId="8" borderId="22" xfId="0" applyNumberFormat="1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justify" wrapText="1"/>
    </xf>
    <xf numFmtId="0" fontId="56" fillId="0" borderId="22" xfId="0" applyFont="1" applyBorder="1" applyAlignment="1">
      <alignment horizontal="center" wrapText="1"/>
    </xf>
    <xf numFmtId="0" fontId="28" fillId="0" borderId="22" xfId="0" applyFont="1" applyBorder="1" applyAlignment="1">
      <alignment horizontal="justify" wrapText="1"/>
    </xf>
    <xf numFmtId="0" fontId="56" fillId="0" borderId="22" xfId="0" applyFont="1" applyBorder="1" applyAlignment="1">
      <alignment horizontal="justify" wrapText="1"/>
    </xf>
    <xf numFmtId="0" fontId="28" fillId="0" borderId="22" xfId="0" applyFont="1" applyBorder="1" applyAlignment="1">
      <alignment horizontal="left" wrapText="1"/>
    </xf>
    <xf numFmtId="0" fontId="28" fillId="0" borderId="22" xfId="0" applyFont="1" applyBorder="1" applyAlignment="1">
      <alignment wrapText="1"/>
    </xf>
    <xf numFmtId="0" fontId="56" fillId="0" borderId="22" xfId="0" applyFont="1" applyBorder="1" applyAlignment="1">
      <alignment horizontal="left" wrapText="1"/>
    </xf>
    <xf numFmtId="0" fontId="56" fillId="0" borderId="22" xfId="0" applyFont="1" applyBorder="1" applyAlignment="1">
      <alignment horizontal="center" vertical="center"/>
    </xf>
    <xf numFmtId="0" fontId="53" fillId="8" borderId="26" xfId="49" applyNumberFormat="1" applyFont="1" applyFill="1" applyBorder="1" applyAlignment="1">
      <alignment horizontal="center" vertical="center"/>
    </xf>
    <xf numFmtId="0" fontId="44" fillId="8" borderId="22" xfId="0" applyFont="1" applyFill="1" applyBorder="1" applyAlignment="1">
      <alignment horizontal="center" wrapText="1"/>
    </xf>
    <xf numFmtId="2" fontId="0" fillId="8" borderId="22" xfId="0" applyNumberFormat="1" applyFont="1" applyFill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top" wrapText="1"/>
    </xf>
    <xf numFmtId="0" fontId="0" fillId="8" borderId="22" xfId="0" applyFont="1" applyFill="1" applyBorder="1" applyAlignment="1" applyProtection="1">
      <alignment horizontal="center" vertical="center" wrapText="1"/>
    </xf>
    <xf numFmtId="0" fontId="42" fillId="0" borderId="22" xfId="0" applyFont="1" applyBorder="1" applyAlignment="1" applyProtection="1">
      <alignment horizontal="center" vertical="top" wrapText="1"/>
    </xf>
    <xf numFmtId="0" fontId="53" fillId="0" borderId="22" xfId="0" applyFont="1" applyBorder="1"/>
    <xf numFmtId="4" fontId="0" fillId="8" borderId="22" xfId="0" applyNumberFormat="1" applyFont="1" applyFill="1" applyBorder="1" applyAlignment="1">
      <alignment horizontal="center"/>
    </xf>
    <xf numFmtId="0" fontId="53" fillId="0" borderId="22" xfId="0" applyFont="1" applyBorder="1" applyAlignment="1">
      <alignment wrapText="1"/>
    </xf>
    <xf numFmtId="0" fontId="53" fillId="0" borderId="22" xfId="0" applyFont="1" applyBorder="1" applyAlignment="1">
      <alignment vertical="top" wrapText="1"/>
    </xf>
    <xf numFmtId="0" fontId="0" fillId="8" borderId="22" xfId="0" applyFont="1" applyFill="1" applyBorder="1" applyAlignment="1">
      <alignment horizontal="center" wrapText="1"/>
    </xf>
    <xf numFmtId="0" fontId="64" fillId="0" borderId="22" xfId="0" applyFont="1" applyBorder="1" applyAlignment="1">
      <alignment horizontal="center" vertical="top" wrapText="1"/>
    </xf>
    <xf numFmtId="0" fontId="53" fillId="8" borderId="22" xfId="0" applyFont="1" applyFill="1" applyBorder="1" applyAlignment="1">
      <alignment vertical="top" wrapText="1"/>
    </xf>
    <xf numFmtId="0" fontId="0" fillId="0" borderId="22" xfId="49" applyNumberFormat="1" applyFont="1" applyBorder="1" applyAlignment="1">
      <alignment horizontal="left" vertical="top" wrapText="1"/>
    </xf>
    <xf numFmtId="168" fontId="0" fillId="8" borderId="22" xfId="49" applyNumberFormat="1" applyFont="1" applyFill="1" applyBorder="1" applyAlignment="1">
      <alignment horizontal="center" vertical="center"/>
    </xf>
    <xf numFmtId="0" fontId="17" fillId="8" borderId="22" xfId="49" applyNumberFormat="1" applyFont="1" applyFill="1" applyBorder="1" applyAlignment="1">
      <alignment horizontal="center" vertical="top" wrapText="1"/>
    </xf>
    <xf numFmtId="0" fontId="0" fillId="8" borderId="22" xfId="49" applyNumberFormat="1" applyFont="1" applyFill="1" applyBorder="1" applyAlignment="1">
      <alignment horizontal="center" vertical="top" wrapText="1"/>
    </xf>
    <xf numFmtId="2" fontId="0" fillId="8" borderId="22" xfId="49" applyNumberFormat="1" applyFont="1" applyFill="1" applyBorder="1" applyAlignment="1">
      <alignment horizontal="center" vertical="top" wrapText="1"/>
    </xf>
    <xf numFmtId="0" fontId="0" fillId="8" borderId="22" xfId="0" applyFont="1" applyFill="1" applyBorder="1" applyAlignment="1">
      <alignment horizontal="right" vertical="center" wrapText="1"/>
    </xf>
    <xf numFmtId="2" fontId="0" fillId="8" borderId="22" xfId="0" applyNumberFormat="1" applyFont="1" applyFill="1" applyBorder="1" applyAlignment="1">
      <alignment horizontal="center" wrapText="1"/>
    </xf>
    <xf numFmtId="2" fontId="0" fillId="0" borderId="22" xfId="49" applyNumberFormat="1" applyFont="1" applyBorder="1" applyAlignment="1">
      <alignment horizontal="right" wrapText="1"/>
    </xf>
    <xf numFmtId="1" fontId="0" fillId="8" borderId="22" xfId="0" applyNumberFormat="1" applyFont="1" applyFill="1" applyBorder="1" applyAlignment="1">
      <alignment horizontal="center"/>
    </xf>
    <xf numFmtId="0" fontId="0" fillId="8" borderId="22" xfId="0" applyFont="1" applyFill="1" applyBorder="1" applyAlignment="1">
      <alignment horizontal="right" wrapText="1"/>
    </xf>
    <xf numFmtId="0" fontId="53" fillId="8" borderId="22" xfId="49" applyNumberFormat="1" applyFont="1" applyFill="1" applyBorder="1" applyAlignment="1">
      <alignment horizontal="right" vertical="center" wrapText="1"/>
    </xf>
    <xf numFmtId="0" fontId="0" fillId="8" borderId="22" xfId="0" applyFont="1" applyFill="1" applyBorder="1" applyAlignment="1">
      <alignment horizontal="right"/>
    </xf>
    <xf numFmtId="2" fontId="0" fillId="8" borderId="22" xfId="0" applyNumberFormat="1" applyFont="1" applyFill="1" applyBorder="1" applyAlignment="1">
      <alignment horizontal="center"/>
    </xf>
    <xf numFmtId="2" fontId="65" fillId="8" borderId="22" xfId="0" applyNumberFormat="1" applyFont="1" applyFill="1" applyBorder="1" applyAlignment="1">
      <alignment horizontal="center" vertical="center"/>
    </xf>
    <xf numFmtId="0" fontId="54" fillId="8" borderId="22" xfId="0" applyFont="1" applyFill="1" applyBorder="1" applyAlignment="1">
      <alignment horizontal="center"/>
    </xf>
    <xf numFmtId="0" fontId="0" fillId="8" borderId="22" xfId="0" applyFont="1" applyFill="1" applyBorder="1" applyAlignment="1">
      <alignment horizontal="left" wrapText="1"/>
    </xf>
    <xf numFmtId="0" fontId="0" fillId="8" borderId="22" xfId="0" applyFont="1" applyFill="1" applyBorder="1" applyAlignment="1">
      <alignment horizontal="right" vertical="center"/>
    </xf>
    <xf numFmtId="0" fontId="0" fillId="8" borderId="22" xfId="0" applyFont="1" applyFill="1" applyBorder="1" applyAlignment="1">
      <alignment horizontal="right" vertical="top" wrapText="1"/>
    </xf>
    <xf numFmtId="0" fontId="45" fillId="8" borderId="22" xfId="49" applyNumberFormat="1" applyFont="1" applyFill="1" applyBorder="1" applyAlignment="1" applyProtection="1">
      <alignment vertical="center" wrapText="1"/>
      <protection locked="0"/>
    </xf>
    <xf numFmtId="4" fontId="0" fillId="8" borderId="22" xfId="0" applyNumberFormat="1" applyFill="1" applyBorder="1" applyAlignment="1">
      <alignment horizontal="center" vertical="center" wrapText="1"/>
    </xf>
    <xf numFmtId="4" fontId="24" fillId="8" borderId="22" xfId="0" applyNumberFormat="1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left"/>
    </xf>
    <xf numFmtId="168" fontId="53" fillId="8" borderId="22" xfId="0" applyNumberFormat="1" applyFont="1" applyFill="1" applyBorder="1" applyAlignment="1">
      <alignment horizontal="center"/>
    </xf>
    <xf numFmtId="0" fontId="28" fillId="8" borderId="22" xfId="49" applyFont="1" applyFill="1" applyBorder="1" applyAlignment="1" applyProtection="1">
      <alignment horizontal="left" vertical="center"/>
      <protection locked="0"/>
    </xf>
    <xf numFmtId="0" fontId="0" fillId="8" borderId="22" xfId="49" applyFont="1" applyFill="1" applyBorder="1" applyAlignment="1" applyProtection="1">
      <alignment wrapText="1"/>
      <protection locked="0"/>
    </xf>
    <xf numFmtId="0" fontId="0" fillId="8" borderId="22" xfId="49" applyFont="1" applyFill="1" applyBorder="1" applyAlignment="1" applyProtection="1">
      <alignment horizontal="left" wrapText="1" indent="1"/>
      <protection locked="0"/>
    </xf>
    <xf numFmtId="0" fontId="17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 applyProtection="1">
      <alignment horizontal="left" vertical="top"/>
    </xf>
    <xf numFmtId="0" fontId="23" fillId="8" borderId="22" xfId="0" applyFont="1" applyFill="1" applyBorder="1" applyAlignment="1" applyProtection="1">
      <alignment horizontal="center" vertical="top"/>
    </xf>
    <xf numFmtId="168" fontId="0" fillId="8" borderId="22" xfId="0" applyNumberFormat="1" applyFont="1" applyFill="1" applyBorder="1" applyAlignment="1">
      <alignment horizontal="center"/>
    </xf>
    <xf numFmtId="0" fontId="53" fillId="0" borderId="22" xfId="49" applyNumberFormat="1" applyFont="1" applyBorder="1" applyAlignment="1">
      <alignment horizontal="right" vertical="center" wrapText="1"/>
    </xf>
    <xf numFmtId="0" fontId="0" fillId="8" borderId="22" xfId="0" applyFont="1" applyFill="1" applyBorder="1" applyAlignment="1">
      <alignment horizontal="left"/>
    </xf>
    <xf numFmtId="0" fontId="0" fillId="8" borderId="21" xfId="49" applyFont="1" applyFill="1" applyBorder="1" applyAlignment="1">
      <alignment horizontal="center" vertical="center" wrapText="1"/>
    </xf>
    <xf numFmtId="0" fontId="53" fillId="0" borderId="26" xfId="49" applyNumberFormat="1" applyFont="1" applyBorder="1" applyAlignment="1">
      <alignment horizontal="center" vertical="center"/>
    </xf>
    <xf numFmtId="2" fontId="53" fillId="0" borderId="22" xfId="49" applyNumberFormat="1" applyFont="1" applyBorder="1" applyAlignment="1">
      <alignment horizontal="center" vertical="center"/>
    </xf>
    <xf numFmtId="2" fontId="0" fillId="8" borderId="22" xfId="49" applyNumberFormat="1" applyFont="1" applyFill="1" applyBorder="1" applyAlignment="1">
      <alignment horizontal="right" wrapText="1"/>
    </xf>
    <xf numFmtId="0" fontId="28" fillId="0" borderId="22" xfId="49" applyFont="1" applyBorder="1" applyAlignment="1" applyProtection="1">
      <alignment horizontal="left" vertical="center" wrapText="1" indent="1"/>
      <protection locked="0"/>
    </xf>
    <xf numFmtId="3" fontId="0" fillId="8" borderId="21" xfId="0" applyNumberFormat="1" applyFill="1" applyBorder="1" applyAlignment="1">
      <alignment horizontal="right" vertical="center" wrapText="1"/>
    </xf>
    <xf numFmtId="4" fontId="0" fillId="0" borderId="22" xfId="0" applyNumberFormat="1" applyBorder="1" applyAlignment="1">
      <alignment horizontal="center" vertical="center" wrapText="1"/>
    </xf>
    <xf numFmtId="4" fontId="66" fillId="0" borderId="22" xfId="0" applyNumberFormat="1" applyFont="1" applyBorder="1" applyAlignment="1">
      <alignment horizontal="left" vertical="center" wrapText="1"/>
    </xf>
    <xf numFmtId="2" fontId="0" fillId="8" borderId="22" xfId="0" applyNumberFormat="1" applyFill="1" applyBorder="1" applyAlignment="1">
      <alignment horizontal="center" vertical="center" wrapText="1"/>
    </xf>
    <xf numFmtId="4" fontId="0" fillId="8" borderId="22" xfId="0" applyNumberFormat="1" applyFont="1" applyFill="1" applyBorder="1" applyAlignment="1">
      <alignment horizontal="center" vertical="center" wrapText="1"/>
    </xf>
    <xf numFmtId="4" fontId="46" fillId="8" borderId="22" xfId="0" applyNumberFormat="1" applyFont="1" applyFill="1" applyBorder="1" applyAlignment="1">
      <alignment horizontal="left" vertical="center" wrapText="1"/>
    </xf>
    <xf numFmtId="0" fontId="0" fillId="8" borderId="22" xfId="49" applyFont="1" applyFill="1" applyBorder="1" applyAlignment="1" applyProtection="1">
      <alignment horizontal="left" vertical="center" wrapText="1" indent="1"/>
      <protection locked="0"/>
    </xf>
    <xf numFmtId="0" fontId="54" fillId="0" borderId="22" xfId="0" applyFont="1" applyBorder="1" applyAlignment="1">
      <alignment horizontal="center"/>
    </xf>
    <xf numFmtId="0" fontId="53" fillId="0" borderId="22" xfId="0" applyFont="1" applyBorder="1" applyAlignment="1">
      <alignment horizontal="right"/>
    </xf>
    <xf numFmtId="0" fontId="0" fillId="0" borderId="22" xfId="0" applyFont="1" applyBorder="1" applyAlignment="1">
      <alignment horizontal="right" vertical="top" wrapText="1"/>
    </xf>
    <xf numFmtId="0" fontId="56" fillId="8" borderId="22" xfId="49" applyFont="1" applyFill="1" applyBorder="1" applyAlignment="1" applyProtection="1">
      <alignment horizontal="center" vertical="center"/>
      <protection locked="0"/>
    </xf>
    <xf numFmtId="2" fontId="53" fillId="8" borderId="22" xfId="49" applyNumberFormat="1" applyFont="1" applyFill="1" applyBorder="1" applyAlignment="1" applyProtection="1">
      <alignment horizontal="center" vertical="center"/>
      <protection locked="0"/>
    </xf>
    <xf numFmtId="0" fontId="48" fillId="0" borderId="22" xfId="0" applyFont="1" applyBorder="1" applyAlignment="1" applyProtection="1">
      <alignment horizontal="right" vertical="top"/>
    </xf>
    <xf numFmtId="0" fontId="67" fillId="8" borderId="22" xfId="0" applyFont="1" applyFill="1" applyBorder="1" applyAlignment="1" applyProtection="1">
      <alignment horizontal="center" vertical="top"/>
    </xf>
    <xf numFmtId="0" fontId="29" fillId="8" borderId="22" xfId="0" applyFont="1" applyFill="1" applyBorder="1" applyAlignment="1" applyProtection="1">
      <alignment horizontal="center" vertical="top"/>
    </xf>
    <xf numFmtId="0" fontId="48" fillId="8" borderId="22" xfId="0" applyFont="1" applyFill="1" applyBorder="1" applyAlignment="1" applyProtection="1">
      <alignment horizontal="right" vertical="top"/>
    </xf>
    <xf numFmtId="2" fontId="53" fillId="8" borderId="22" xfId="0" applyNumberFormat="1" applyFont="1" applyFill="1" applyBorder="1" applyAlignment="1">
      <alignment horizontal="center"/>
    </xf>
    <xf numFmtId="0" fontId="48" fillId="8" borderId="22" xfId="0" applyFont="1" applyFill="1" applyBorder="1" applyAlignment="1" applyProtection="1">
      <alignment horizontal="left" vertical="top"/>
    </xf>
    <xf numFmtId="2" fontId="56" fillId="8" borderId="22" xfId="49" applyNumberFormat="1" applyFont="1" applyFill="1" applyBorder="1" applyAlignment="1" applyProtection="1">
      <alignment horizontal="center" vertical="center"/>
      <protection locked="0"/>
    </xf>
    <xf numFmtId="0" fontId="11" fillId="8" borderId="22" xfId="49" applyFont="1" applyFill="1" applyBorder="1" applyAlignment="1">
      <alignment horizontal="center" vertical="top" wrapText="1"/>
    </xf>
    <xf numFmtId="3" fontId="0" fillId="8" borderId="21" xfId="0" applyNumberFormat="1" applyFill="1" applyBorder="1" applyAlignment="1">
      <alignment horizontal="center" vertical="center" wrapText="1"/>
    </xf>
    <xf numFmtId="0" fontId="53" fillId="8" borderId="22" xfId="49" applyFont="1" applyFill="1" applyBorder="1" applyAlignment="1" applyProtection="1">
      <alignment horizontal="center" vertical="center"/>
      <protection locked="0"/>
    </xf>
    <xf numFmtId="3" fontId="0" fillId="0" borderId="21" xfId="0" applyNumberFormat="1" applyBorder="1" applyAlignment="1">
      <alignment horizontal="center" vertical="center" wrapText="1"/>
    </xf>
    <xf numFmtId="2" fontId="28" fillId="8" borderId="22" xfId="49" applyNumberFormat="1" applyFont="1" applyFill="1" applyBorder="1" applyAlignment="1" applyProtection="1">
      <alignment horizontal="center" vertical="center"/>
      <protection locked="0"/>
    </xf>
    <xf numFmtId="4" fontId="42" fillId="8" borderId="22" xfId="0" applyNumberFormat="1" applyFont="1" applyFill="1" applyBorder="1" applyAlignment="1">
      <alignment horizontal="left" vertical="center" wrapText="1"/>
    </xf>
    <xf numFmtId="0" fontId="0" fillId="8" borderId="22" xfId="49" applyNumberFormat="1" applyFont="1" applyFill="1" applyBorder="1" applyAlignment="1" applyProtection="1">
      <alignment horizontal="left" vertical="center" wrapText="1"/>
    </xf>
    <xf numFmtId="0" fontId="0" fillId="8" borderId="22" xfId="49" applyNumberFormat="1" applyFont="1" applyFill="1" applyBorder="1" applyAlignment="1" applyProtection="1">
      <alignment horizontal="left" vertical="center" wrapText="1" indent="1"/>
    </xf>
    <xf numFmtId="0" fontId="0" fillId="8" borderId="22" xfId="49" applyNumberFormat="1" applyFont="1" applyFill="1" applyBorder="1" applyAlignment="1" applyProtection="1">
      <alignment horizontal="center" vertical="center"/>
    </xf>
    <xf numFmtId="0" fontId="53" fillId="9" borderId="22" xfId="49" applyFont="1" applyFill="1" applyBorder="1" applyAlignment="1" applyProtection="1">
      <alignment horizontal="center" vertical="center"/>
      <protection locked="0"/>
    </xf>
    <xf numFmtId="2" fontId="53" fillId="9" borderId="22" xfId="49" applyNumberFormat="1" applyFont="1" applyFill="1" applyBorder="1" applyAlignment="1" applyProtection="1">
      <alignment horizontal="center" vertical="center"/>
      <protection locked="0"/>
    </xf>
    <xf numFmtId="0" fontId="21" fillId="0" borderId="0" xfId="36" applyFont="1" applyAlignment="1">
      <alignment horizontal="right"/>
    </xf>
    <xf numFmtId="0" fontId="12" fillId="0" borderId="25" xfId="36" applyFont="1" applyFill="1" applyBorder="1" applyAlignment="1">
      <alignment horizontal="right" vertical="center" wrapText="1"/>
    </xf>
    <xf numFmtId="0" fontId="20" fillId="0" borderId="0" xfId="36" applyFont="1" applyAlignment="1">
      <alignment horizontal="center"/>
    </xf>
    <xf numFmtId="0" fontId="53" fillId="0" borderId="31" xfId="49" applyNumberFormat="1" applyFont="1" applyBorder="1" applyAlignment="1">
      <alignment horizontal="center" vertical="center"/>
    </xf>
    <xf numFmtId="0" fontId="53" fillId="8" borderId="32" xfId="49" applyNumberFormat="1" applyFont="1" applyFill="1" applyBorder="1" applyAlignment="1">
      <alignment horizontal="center" vertical="center"/>
    </xf>
    <xf numFmtId="0" fontId="10" fillId="7" borderId="32" xfId="49" applyNumberFormat="1" applyFont="1" applyFill="1" applyBorder="1" applyAlignment="1" applyProtection="1">
      <alignment vertical="center" wrapText="1"/>
      <protection locked="0"/>
    </xf>
    <xf numFmtId="0" fontId="9" fillId="0" borderId="32" xfId="49" applyFont="1" applyBorder="1" applyAlignment="1" applyProtection="1">
      <alignment horizontal="center" vertical="center"/>
      <protection locked="0"/>
    </xf>
    <xf numFmtId="0" fontId="9" fillId="8" borderId="32" xfId="49" applyFont="1" applyFill="1" applyBorder="1" applyAlignment="1" applyProtection="1">
      <alignment horizontal="center" vertical="center"/>
      <protection locked="0"/>
    </xf>
    <xf numFmtId="2" fontId="19" fillId="0" borderId="32" xfId="36" applyNumberFormat="1" applyFont="1" applyBorder="1" applyAlignment="1">
      <alignment horizontal="center" vertical="center"/>
    </xf>
    <xf numFmtId="2" fontId="19" fillId="0" borderId="33" xfId="36" applyNumberFormat="1" applyFont="1" applyBorder="1" applyAlignment="1">
      <alignment horizontal="center" vertical="center"/>
    </xf>
    <xf numFmtId="0" fontId="17" fillId="8" borderId="34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17" fillId="8" borderId="14" xfId="49" applyNumberFormat="1" applyFont="1" applyFill="1" applyBorder="1" applyAlignment="1">
      <alignment vertical="center" wrapText="1"/>
    </xf>
    <xf numFmtId="2" fontId="19" fillId="0" borderId="14" xfId="0" applyNumberFormat="1" applyFont="1" applyBorder="1" applyAlignment="1">
      <alignment horizontal="center" vertical="center"/>
    </xf>
    <xf numFmtId="2" fontId="19" fillId="0" borderId="35" xfId="0" applyNumberFormat="1" applyFont="1" applyBorder="1" applyAlignment="1">
      <alignment horizontal="center" vertical="center"/>
    </xf>
    <xf numFmtId="0" fontId="20" fillId="0" borderId="34" xfId="36" applyFont="1" applyBorder="1"/>
    <xf numFmtId="2" fontId="25" fillId="3" borderId="14" xfId="50" applyNumberFormat="1" applyFont="1" applyFill="1" applyBorder="1" applyAlignment="1">
      <alignment vertical="center" wrapText="1"/>
    </xf>
    <xf numFmtId="0" fontId="54" fillId="8" borderId="14" xfId="49" applyNumberFormat="1" applyFont="1" applyFill="1" applyBorder="1" applyAlignment="1">
      <alignment vertical="center" wrapText="1"/>
    </xf>
    <xf numFmtId="1" fontId="23" fillId="3" borderId="34" xfId="5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left" vertical="center" wrapText="1"/>
    </xf>
    <xf numFmtId="0" fontId="23" fillId="0" borderId="14" xfId="0" applyNumberFormat="1" applyFont="1" applyFill="1" applyBorder="1" applyAlignment="1">
      <alignment horizontal="center" vertical="center" wrapText="1"/>
    </xf>
    <xf numFmtId="1" fontId="23" fillId="0" borderId="14" xfId="0" applyNumberFormat="1" applyFont="1" applyFill="1" applyBorder="1" applyAlignment="1">
      <alignment horizontal="center" vertical="center" wrapText="1"/>
    </xf>
    <xf numFmtId="0" fontId="23" fillId="3" borderId="14" xfId="5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center" vertical="center"/>
    </xf>
    <xf numFmtId="0" fontId="23" fillId="3" borderId="14" xfId="50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/>
    </xf>
    <xf numFmtId="0" fontId="23" fillId="0" borderId="14" xfId="50" applyFont="1" applyBorder="1" applyAlignment="1">
      <alignment horizontal="left" vertical="center"/>
    </xf>
    <xf numFmtId="0" fontId="23" fillId="0" borderId="14" xfId="50" applyFont="1" applyBorder="1" applyAlignment="1">
      <alignment horizontal="center" vertical="center"/>
    </xf>
    <xf numFmtId="1" fontId="23" fillId="0" borderId="14" xfId="50" applyNumberFormat="1" applyFont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0" fontId="23" fillId="0" borderId="14" xfId="50" applyFont="1" applyBorder="1" applyAlignment="1">
      <alignment horizontal="left" vertical="center" wrapText="1"/>
    </xf>
    <xf numFmtId="0" fontId="25" fillId="0" borderId="14" xfId="50" applyNumberFormat="1" applyFont="1" applyBorder="1" applyAlignment="1"/>
    <xf numFmtId="0" fontId="23" fillId="0" borderId="14" xfId="0" applyFont="1" applyBorder="1" applyAlignment="1">
      <alignment horizontal="left" vertical="center" wrapText="1"/>
    </xf>
    <xf numFmtId="0" fontId="23" fillId="3" borderId="14" xfId="47" applyNumberFormat="1" applyFont="1" applyFill="1" applyBorder="1" applyAlignment="1">
      <alignment horizontal="center" vertical="center" wrapText="1"/>
    </xf>
    <xf numFmtId="0" fontId="23" fillId="3" borderId="14" xfId="29" applyNumberFormat="1" applyFont="1" applyFill="1" applyBorder="1" applyAlignment="1">
      <alignment vertical="center" wrapText="1"/>
    </xf>
    <xf numFmtId="0" fontId="23" fillId="3" borderId="14" xfId="47" applyNumberFormat="1" applyFont="1" applyFill="1" applyBorder="1" applyAlignment="1">
      <alignment horizontal="center" vertical="center"/>
    </xf>
    <xf numFmtId="0" fontId="23" fillId="3" borderId="14" xfId="29" applyNumberFormat="1" applyFont="1" applyFill="1" applyBorder="1" applyAlignment="1">
      <alignment horizontal="left" vertical="center"/>
    </xf>
    <xf numFmtId="1" fontId="23" fillId="0" borderId="14" xfId="0" applyNumberFormat="1" applyFont="1" applyFill="1" applyBorder="1" applyAlignment="1">
      <alignment horizontal="center" vertical="center"/>
    </xf>
    <xf numFmtId="1" fontId="25" fillId="3" borderId="14" xfId="50" applyNumberFormat="1" applyFont="1" applyFill="1" applyBorder="1" applyAlignment="1">
      <alignment vertical="center"/>
    </xf>
    <xf numFmtId="0" fontId="23" fillId="0" borderId="14" xfId="0" applyNumberFormat="1" applyFont="1" applyFill="1" applyBorder="1" applyAlignment="1">
      <alignment horizontal="left"/>
    </xf>
    <xf numFmtId="0" fontId="23" fillId="0" borderId="14" xfId="0" applyNumberFormat="1" applyFont="1" applyFill="1" applyBorder="1" applyAlignment="1">
      <alignment horizontal="left" wrapText="1"/>
    </xf>
    <xf numFmtId="0" fontId="19" fillId="3" borderId="19" xfId="36" applyFont="1" applyFill="1" applyBorder="1" applyAlignment="1">
      <alignment horizontal="center" vertical="center"/>
    </xf>
    <xf numFmtId="0" fontId="19" fillId="3" borderId="20" xfId="36" applyFont="1" applyFill="1" applyBorder="1" applyAlignment="1">
      <alignment horizontal="center" vertical="center"/>
    </xf>
    <xf numFmtId="0" fontId="9" fillId="3" borderId="20" xfId="34" applyFont="1" applyFill="1" applyBorder="1" applyAlignment="1" applyProtection="1">
      <alignment horizontal="left" vertical="center" wrapText="1" indent="1"/>
      <protection locked="0"/>
    </xf>
    <xf numFmtId="0" fontId="9" fillId="3" borderId="20" xfId="34" applyFont="1" applyFill="1" applyBorder="1" applyAlignment="1" applyProtection="1">
      <alignment horizontal="center" vertical="center"/>
      <protection locked="0"/>
    </xf>
    <xf numFmtId="2" fontId="19" fillId="3" borderId="20" xfId="36" applyNumberFormat="1" applyFont="1" applyFill="1" applyBorder="1" applyAlignment="1">
      <alignment horizontal="center" vertical="center"/>
    </xf>
    <xf numFmtId="2" fontId="19" fillId="3" borderId="36" xfId="36" applyNumberFormat="1" applyFont="1" applyFill="1" applyBorder="1" applyAlignment="1">
      <alignment horizontal="center" vertical="center"/>
    </xf>
    <xf numFmtId="0" fontId="19" fillId="0" borderId="0" xfId="36" applyFont="1" applyAlignment="1">
      <alignment horizontal="center" vertical="top"/>
    </xf>
    <xf numFmtId="0" fontId="0" fillId="0" borderId="0" xfId="0" applyFont="1" applyAlignment="1">
      <alignment horizontal="center"/>
    </xf>
    <xf numFmtId="0" fontId="11" fillId="0" borderId="2" xfId="36" applyFont="1" applyFill="1" applyBorder="1" applyAlignment="1">
      <alignment horizontal="center" vertical="center" wrapText="1"/>
    </xf>
    <xf numFmtId="0" fontId="20" fillId="0" borderId="0" xfId="36" applyFont="1" applyAlignment="1">
      <alignment horizontal="center" vertical="center"/>
    </xf>
    <xf numFmtId="0" fontId="20" fillId="4" borderId="0" xfId="36" applyFont="1" applyFill="1" applyAlignment="1">
      <alignment horizontal="center" vertical="center"/>
    </xf>
    <xf numFmtId="164" fontId="20" fillId="0" borderId="0" xfId="36" applyNumberFormat="1" applyFont="1" applyAlignment="1">
      <alignment horizontal="center"/>
    </xf>
    <xf numFmtId="0" fontId="19" fillId="3" borderId="37" xfId="36" applyFont="1" applyFill="1" applyBorder="1" applyAlignment="1">
      <alignment horizontal="center" vertical="center"/>
    </xf>
    <xf numFmtId="0" fontId="19" fillId="3" borderId="38" xfId="36" applyFont="1" applyFill="1" applyBorder="1" applyAlignment="1">
      <alignment horizontal="center" vertical="center"/>
    </xf>
    <xf numFmtId="0" fontId="18" fillId="3" borderId="38" xfId="34" applyFont="1" applyFill="1" applyBorder="1" applyAlignment="1" applyProtection="1">
      <alignment horizontal="left" vertical="center" wrapText="1" indent="1"/>
      <protection locked="0"/>
    </xf>
    <xf numFmtId="0" fontId="9" fillId="3" borderId="38" xfId="34" applyFont="1" applyFill="1" applyBorder="1" applyAlignment="1" applyProtection="1">
      <alignment horizontal="center" vertical="center"/>
      <protection locked="0"/>
    </xf>
    <xf numFmtId="2" fontId="19" fillId="3" borderId="38" xfId="36" applyNumberFormat="1" applyFont="1" applyFill="1" applyBorder="1" applyAlignment="1">
      <alignment horizontal="center" vertical="center"/>
    </xf>
    <xf numFmtId="2" fontId="19" fillId="3" borderId="39" xfId="36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49" applyNumberFormat="1" applyFont="1" applyBorder="1" applyAlignment="1">
      <alignment wrapText="1"/>
    </xf>
    <xf numFmtId="0" fontId="9" fillId="0" borderId="14" xfId="49" applyNumberFormat="1" applyFont="1" applyBorder="1" applyAlignment="1">
      <alignment horizontal="center"/>
    </xf>
    <xf numFmtId="0" fontId="0" fillId="0" borderId="3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23" fillId="0" borderId="14" xfId="49" applyNumberFormat="1" applyFont="1" applyBorder="1" applyAlignment="1">
      <alignment horizontal="left" vertical="center" wrapText="1"/>
    </xf>
    <xf numFmtId="0" fontId="23" fillId="0" borderId="14" xfId="49" applyNumberFormat="1" applyFont="1" applyBorder="1" applyAlignment="1">
      <alignment horizontal="center" vertical="center"/>
    </xf>
    <xf numFmtId="168" fontId="23" fillId="0" borderId="14" xfId="49" applyNumberFormat="1" applyFont="1" applyBorder="1" applyAlignment="1">
      <alignment horizontal="center" vertical="center" wrapText="1"/>
    </xf>
    <xf numFmtId="0" fontId="55" fillId="0" borderId="14" xfId="0" applyFont="1" applyBorder="1" applyAlignment="1">
      <alignment horizontal="left" wrapText="1"/>
    </xf>
    <xf numFmtId="168" fontId="55" fillId="0" borderId="14" xfId="0" applyNumberFormat="1" applyFont="1" applyBorder="1" applyAlignment="1">
      <alignment horizontal="center" wrapText="1"/>
    </xf>
    <xf numFmtId="0" fontId="23" fillId="0" borderId="14" xfId="49" applyNumberFormat="1" applyFont="1" applyBorder="1" applyAlignment="1">
      <alignment horizontal="left" wrapText="1"/>
    </xf>
    <xf numFmtId="168" fontId="23" fillId="0" borderId="14" xfId="49" applyNumberFormat="1" applyFont="1" applyBorder="1" applyAlignment="1">
      <alignment horizontal="center"/>
    </xf>
    <xf numFmtId="0" fontId="23" fillId="8" borderId="14" xfId="49" applyNumberFormat="1" applyFont="1" applyFill="1" applyBorder="1" applyAlignment="1">
      <alignment horizontal="left" vertical="center" wrapText="1"/>
    </xf>
    <xf numFmtId="168" fontId="23" fillId="8" borderId="14" xfId="49" applyNumberFormat="1" applyFont="1" applyFill="1" applyBorder="1" applyAlignment="1">
      <alignment horizontal="center" vertical="center" wrapText="1"/>
    </xf>
    <xf numFmtId="168" fontId="23" fillId="0" borderId="14" xfId="0" applyNumberFormat="1" applyFont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left" vertical="center" wrapText="1"/>
    </xf>
    <xf numFmtId="0" fontId="23" fillId="8" borderId="14" xfId="49" applyNumberFormat="1" applyFont="1" applyFill="1" applyBorder="1" applyAlignment="1">
      <alignment horizontal="center" vertical="center"/>
    </xf>
    <xf numFmtId="168" fontId="23" fillId="8" borderId="14" xfId="0" applyNumberFormat="1" applyFont="1" applyFill="1" applyBorder="1" applyAlignment="1">
      <alignment horizontal="center" vertical="center" wrapText="1"/>
    </xf>
    <xf numFmtId="168" fontId="23" fillId="0" borderId="14" xfId="49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left" wrapText="1"/>
    </xf>
    <xf numFmtId="168" fontId="0" fillId="0" borderId="14" xfId="0" applyNumberFormat="1" applyFont="1" applyBorder="1" applyAlignment="1">
      <alignment horizontal="center" wrapText="1"/>
    </xf>
    <xf numFmtId="0" fontId="25" fillId="0" borderId="14" xfId="49" applyFont="1" applyBorder="1" applyAlignment="1">
      <alignment horizontal="left" vertical="center" wrapText="1"/>
    </xf>
    <xf numFmtId="0" fontId="40" fillId="0" borderId="14" xfId="49" applyFont="1" applyBorder="1" applyAlignment="1">
      <alignment horizontal="center" vertical="center" wrapText="1"/>
    </xf>
    <xf numFmtId="168" fontId="40" fillId="0" borderId="14" xfId="49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17" fillId="0" borderId="14" xfId="49" applyNumberFormat="1" applyFont="1" applyBorder="1" applyAlignment="1">
      <alignment horizontal="left" wrapText="1"/>
    </xf>
    <xf numFmtId="168" fontId="9" fillId="0" borderId="14" xfId="49" applyNumberFormat="1" applyFont="1" applyBorder="1" applyAlignment="1">
      <alignment horizontal="center" wrapText="1"/>
    </xf>
    <xf numFmtId="0" fontId="23" fillId="0" borderId="14" xfId="49" applyNumberFormat="1" applyFont="1" applyBorder="1" applyAlignment="1">
      <alignment horizontal="center"/>
    </xf>
    <xf numFmtId="0" fontId="28" fillId="0" borderId="14" xfId="49" applyNumberFormat="1" applyFont="1" applyBorder="1" applyAlignment="1">
      <alignment horizontal="left" vertical="center" wrapText="1"/>
    </xf>
    <xf numFmtId="168" fontId="9" fillId="0" borderId="14" xfId="49" applyNumberFormat="1" applyFont="1" applyBorder="1" applyAlignment="1">
      <alignment horizontal="center" vertical="center" wrapText="1"/>
    </xf>
    <xf numFmtId="0" fontId="0" fillId="0" borderId="14" xfId="49" applyNumberFormat="1" applyFont="1" applyBorder="1" applyAlignment="1">
      <alignment horizontal="left" vertical="center" wrapText="1"/>
    </xf>
    <xf numFmtId="0" fontId="18" fillId="3" borderId="20" xfId="34" applyFont="1" applyFill="1" applyBorder="1" applyAlignment="1" applyProtection="1">
      <alignment horizontal="left" vertical="center" wrapText="1" indent="1"/>
      <protection locked="0"/>
    </xf>
    <xf numFmtId="2" fontId="19" fillId="0" borderId="20" xfId="0" applyNumberFormat="1" applyFont="1" applyBorder="1" applyAlignment="1">
      <alignment horizontal="center" vertical="center"/>
    </xf>
    <xf numFmtId="2" fontId="19" fillId="0" borderId="36" xfId="0" applyNumberFormat="1" applyFont="1" applyBorder="1" applyAlignment="1">
      <alignment horizontal="center" vertical="center"/>
    </xf>
    <xf numFmtId="0" fontId="0" fillId="10" borderId="22" xfId="0" applyFont="1" applyFill="1" applyBorder="1" applyAlignment="1">
      <alignment horizontal="center" vertical="center"/>
    </xf>
    <xf numFmtId="0" fontId="0" fillId="10" borderId="22" xfId="0" applyFont="1" applyFill="1" applyBorder="1" applyAlignment="1">
      <alignment horizontal="left" wrapText="1"/>
    </xf>
    <xf numFmtId="0" fontId="0" fillId="11" borderId="22" xfId="0" applyFont="1" applyFill="1" applyBorder="1" applyAlignment="1">
      <alignment horizontal="center" vertical="center"/>
    </xf>
    <xf numFmtId="0" fontId="0" fillId="12" borderId="22" xfId="0" applyFont="1" applyFill="1" applyBorder="1" applyAlignment="1">
      <alignment horizontal="center" wrapText="1"/>
    </xf>
    <xf numFmtId="0" fontId="0" fillId="0" borderId="4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3" fillId="6" borderId="0" xfId="0" applyFont="1" applyFill="1" applyBorder="1" applyAlignment="1">
      <alignment vertical="top" wrapText="1"/>
    </xf>
    <xf numFmtId="0" fontId="0" fillId="12" borderId="0" xfId="0" applyFont="1" applyFill="1" applyBorder="1" applyAlignment="1">
      <alignment horizontal="center" wrapText="1"/>
    </xf>
    <xf numFmtId="2" fontId="0" fillId="12" borderId="0" xfId="0" applyNumberFormat="1" applyFont="1" applyFill="1" applyBorder="1" applyAlignment="1" applyProtection="1">
      <alignment horizontal="center" vertical="center"/>
    </xf>
    <xf numFmtId="0" fontId="0" fillId="6" borderId="11" xfId="34" applyFont="1" applyFill="1" applyBorder="1" applyAlignment="1" applyProtection="1">
      <alignment horizontal="left" vertical="center" wrapText="1" indent="1"/>
      <protection locked="0"/>
    </xf>
    <xf numFmtId="0" fontId="68" fillId="12" borderId="22" xfId="49" applyFont="1" applyFill="1" applyBorder="1" applyAlignment="1" applyProtection="1">
      <alignment horizontal="center" vertical="center"/>
      <protection locked="0"/>
    </xf>
    <xf numFmtId="0" fontId="9" fillId="6" borderId="11" xfId="34" applyFont="1" applyFill="1" applyBorder="1" applyAlignment="1" applyProtection="1">
      <alignment horizontal="center" vertical="center"/>
      <protection locked="0"/>
    </xf>
    <xf numFmtId="2" fontId="9" fillId="6" borderId="11" xfId="34" applyNumberFormat="1" applyFont="1" applyFill="1" applyBorder="1" applyAlignment="1" applyProtection="1">
      <alignment horizontal="center" vertical="center"/>
      <protection locked="0"/>
    </xf>
    <xf numFmtId="0" fontId="70" fillId="0" borderId="41" xfId="49" applyFont="1" applyBorder="1"/>
    <xf numFmtId="0" fontId="0" fillId="8" borderId="42" xfId="0" applyFont="1" applyFill="1" applyBorder="1" applyAlignment="1">
      <alignment horizontal="center" vertical="center"/>
    </xf>
    <xf numFmtId="1" fontId="25" fillId="8" borderId="42" xfId="49" applyNumberFormat="1" applyFont="1" applyFill="1" applyBorder="1" applyAlignment="1">
      <alignment vertical="center"/>
    </xf>
    <xf numFmtId="1" fontId="23" fillId="7" borderId="41" xfId="49" applyNumberFormat="1" applyFont="1" applyFill="1" applyBorder="1" applyAlignment="1">
      <alignment horizontal="center" vertical="center"/>
    </xf>
    <xf numFmtId="0" fontId="0" fillId="7" borderId="42" xfId="0" applyFont="1" applyFill="1" applyBorder="1" applyAlignment="1">
      <alignment horizontal="center" vertical="center"/>
    </xf>
    <xf numFmtId="0" fontId="23" fillId="7" borderId="42" xfId="0" applyFont="1" applyFill="1" applyBorder="1" applyAlignment="1">
      <alignment horizontal="left" vertical="center" wrapText="1"/>
    </xf>
    <xf numFmtId="0" fontId="23" fillId="7" borderId="42" xfId="0" applyFont="1" applyFill="1" applyBorder="1" applyAlignment="1">
      <alignment horizontal="center" vertical="center" wrapText="1"/>
    </xf>
    <xf numFmtId="1" fontId="23" fillId="8" borderId="41" xfId="49" applyNumberFormat="1" applyFont="1" applyFill="1" applyBorder="1" applyAlignment="1">
      <alignment horizontal="center" vertical="center"/>
    </xf>
    <xf numFmtId="0" fontId="23" fillId="0" borderId="42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center" vertical="center" wrapText="1"/>
    </xf>
    <xf numFmtId="0" fontId="0" fillId="12" borderId="21" xfId="49" applyFont="1" applyFill="1" applyBorder="1" applyAlignment="1">
      <alignment horizontal="center" vertical="center" wrapText="1"/>
    </xf>
    <xf numFmtId="0" fontId="23" fillId="12" borderId="22" xfId="49" applyNumberFormat="1" applyFont="1" applyFill="1" applyBorder="1" applyAlignment="1">
      <alignment horizontal="center" vertical="center" wrapText="1"/>
    </xf>
    <xf numFmtId="0" fontId="0" fillId="12" borderId="22" xfId="49" applyFont="1" applyFill="1" applyBorder="1" applyAlignment="1" applyProtection="1">
      <alignment vertical="center" wrapText="1"/>
      <protection locked="0"/>
    </xf>
    <xf numFmtId="0" fontId="0" fillId="12" borderId="22" xfId="49" applyFont="1" applyFill="1" applyBorder="1" applyAlignment="1" applyProtection="1">
      <alignment horizontal="center" vertical="center"/>
      <protection locked="0"/>
    </xf>
    <xf numFmtId="2" fontId="0" fillId="12" borderId="22" xfId="49" applyNumberFormat="1" applyFont="1" applyFill="1" applyBorder="1" applyAlignment="1" applyProtection="1">
      <alignment horizontal="center" vertical="center"/>
      <protection locked="0"/>
    </xf>
    <xf numFmtId="0" fontId="0" fillId="12" borderId="22" xfId="49" applyFont="1" applyFill="1" applyBorder="1" applyAlignment="1" applyProtection="1">
      <alignment horizontal="left" vertical="center" wrapText="1" indent="1"/>
      <protection locked="0"/>
    </xf>
    <xf numFmtId="0" fontId="56" fillId="12" borderId="22" xfId="49" applyFont="1" applyFill="1" applyBorder="1" applyAlignment="1" applyProtection="1">
      <alignment horizontal="center" vertical="center"/>
      <protection locked="0"/>
    </xf>
    <xf numFmtId="0" fontId="28" fillId="12" borderId="22" xfId="49" applyFont="1" applyFill="1" applyBorder="1" applyAlignment="1" applyProtection="1">
      <alignment horizontal="left" vertical="center" wrapText="1" indent="1"/>
      <protection locked="0"/>
    </xf>
    <xf numFmtId="4" fontId="0" fillId="6" borderId="11" xfId="0" applyNumberFormat="1" applyFill="1" applyBorder="1" applyAlignment="1">
      <alignment horizontal="left" vertical="center" wrapText="1"/>
    </xf>
    <xf numFmtId="0" fontId="20" fillId="6" borderId="34" xfId="36" applyFont="1" applyFill="1" applyBorder="1"/>
    <xf numFmtId="0" fontId="9" fillId="12" borderId="14" xfId="0" applyFont="1" applyFill="1" applyBorder="1" applyAlignment="1">
      <alignment horizontal="center" vertical="center"/>
    </xf>
    <xf numFmtId="1" fontId="25" fillId="6" borderId="14" xfId="50" applyNumberFormat="1" applyFont="1" applyFill="1" applyBorder="1" applyAlignment="1">
      <alignment vertical="center"/>
    </xf>
    <xf numFmtId="0" fontId="23" fillId="6" borderId="22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23" fillId="3" borderId="14" xfId="0" applyNumberFormat="1" applyFont="1" applyFill="1" applyBorder="1" applyAlignment="1">
      <alignment horizontal="left" vertical="center" wrapText="1"/>
    </xf>
    <xf numFmtId="0" fontId="23" fillId="3" borderId="14" xfId="0" applyNumberFormat="1" applyFont="1" applyFill="1" applyBorder="1" applyAlignment="1">
      <alignment horizontal="center" vertical="center" wrapText="1"/>
    </xf>
    <xf numFmtId="1" fontId="23" fillId="3" borderId="14" xfId="0" applyNumberFormat="1" applyFont="1" applyFill="1" applyBorder="1" applyAlignment="1">
      <alignment horizontal="center" vertical="center" wrapText="1"/>
    </xf>
    <xf numFmtId="0" fontId="23" fillId="3" borderId="14" xfId="0" applyNumberFormat="1" applyFont="1" applyFill="1" applyBorder="1" applyAlignment="1">
      <alignment horizontal="center" vertical="center"/>
    </xf>
    <xf numFmtId="0" fontId="23" fillId="3" borderId="14" xfId="0" applyNumberFormat="1" applyFont="1" applyFill="1" applyBorder="1" applyAlignment="1">
      <alignment horizontal="left"/>
    </xf>
    <xf numFmtId="3" fontId="0" fillId="6" borderId="13" xfId="0" applyNumberFormat="1" applyFill="1" applyBorder="1" applyAlignment="1">
      <alignment horizontal="center" vertical="center" wrapText="1"/>
    </xf>
    <xf numFmtId="0" fontId="23" fillId="6" borderId="11" xfId="34" applyFont="1" applyFill="1" applyBorder="1" applyAlignment="1">
      <alignment horizontal="center" vertical="center" wrapText="1"/>
    </xf>
    <xf numFmtId="4" fontId="0" fillId="6" borderId="11" xfId="0" applyNumberFormat="1" applyFill="1" applyBorder="1" applyAlignment="1">
      <alignment horizontal="center" vertical="center" wrapText="1"/>
    </xf>
    <xf numFmtId="4" fontId="24" fillId="6" borderId="11" xfId="0" applyNumberFormat="1" applyFont="1" applyFill="1" applyBorder="1" applyAlignment="1">
      <alignment horizontal="center" vertical="center" wrapText="1"/>
    </xf>
    <xf numFmtId="0" fontId="0" fillId="11" borderId="22" xfId="0" applyFont="1" applyFill="1" applyBorder="1" applyAlignment="1">
      <alignment horizontal="center" vertical="center" wrapText="1"/>
    </xf>
    <xf numFmtId="2" fontId="0" fillId="11" borderId="22" xfId="0" applyNumberFormat="1" applyFont="1" applyFill="1" applyBorder="1" applyAlignment="1">
      <alignment horizontal="center"/>
    </xf>
    <xf numFmtId="0" fontId="53" fillId="11" borderId="22" xfId="0" applyFont="1" applyFill="1" applyBorder="1" applyAlignment="1">
      <alignment horizontal="center" vertical="center" wrapText="1"/>
    </xf>
    <xf numFmtId="0" fontId="23" fillId="11" borderId="22" xfId="49" applyFont="1" applyFill="1" applyBorder="1" applyAlignment="1">
      <alignment horizontal="center" vertical="center" wrapText="1"/>
    </xf>
    <xf numFmtId="4" fontId="17" fillId="11" borderId="22" xfId="0" applyNumberFormat="1" applyFont="1" applyFill="1" applyBorder="1" applyAlignment="1">
      <alignment horizontal="left" vertical="center" wrapText="1"/>
    </xf>
    <xf numFmtId="4" fontId="0" fillId="11" borderId="22" xfId="0" applyNumberFormat="1" applyFont="1" applyFill="1" applyBorder="1" applyAlignment="1">
      <alignment horizontal="center" vertical="center" wrapText="1"/>
    </xf>
    <xf numFmtId="2" fontId="0" fillId="11" borderId="22" xfId="0" applyNumberFormat="1" applyFont="1" applyFill="1" applyBorder="1" applyAlignment="1">
      <alignment horizontal="center" vertical="center" wrapText="1"/>
    </xf>
    <xf numFmtId="0" fontId="0" fillId="11" borderId="22" xfId="0" applyFont="1" applyFill="1" applyBorder="1" applyAlignment="1">
      <alignment horizontal="left" vertical="center" wrapText="1"/>
    </xf>
    <xf numFmtId="0" fontId="0" fillId="11" borderId="22" xfId="0" applyFont="1" applyFill="1" applyBorder="1" applyAlignment="1">
      <alignment horizontal="right" wrapText="1"/>
    </xf>
    <xf numFmtId="0" fontId="0" fillId="11" borderId="22" xfId="0" applyFont="1" applyFill="1" applyBorder="1" applyAlignment="1">
      <alignment horizontal="center"/>
    </xf>
    <xf numFmtId="168" fontId="0" fillId="11" borderId="22" xfId="0" applyNumberFormat="1" applyFont="1" applyFill="1" applyBorder="1" applyAlignment="1">
      <alignment horizontal="center"/>
    </xf>
    <xf numFmtId="0" fontId="53" fillId="11" borderId="22" xfId="49" applyNumberFormat="1" applyFont="1" applyFill="1" applyBorder="1" applyAlignment="1">
      <alignment horizontal="right" vertical="center" wrapText="1"/>
    </xf>
    <xf numFmtId="0" fontId="0" fillId="11" borderId="22" xfId="0" applyFont="1" applyFill="1" applyBorder="1" applyAlignment="1">
      <alignment horizontal="right"/>
    </xf>
    <xf numFmtId="4" fontId="0" fillId="11" borderId="22" xfId="0" applyNumberFormat="1" applyFont="1" applyFill="1" applyBorder="1" applyAlignment="1">
      <alignment horizontal="center"/>
    </xf>
    <xf numFmtId="2" fontId="0" fillId="11" borderId="22" xfId="0" applyNumberFormat="1" applyFont="1" applyFill="1" applyBorder="1" applyAlignment="1" applyProtection="1">
      <alignment horizontal="center" vertical="center"/>
    </xf>
    <xf numFmtId="0" fontId="0" fillId="11" borderId="22" xfId="0" applyFont="1" applyFill="1" applyBorder="1" applyAlignment="1">
      <alignment horizontal="right" vertical="center" wrapText="1"/>
    </xf>
    <xf numFmtId="0" fontId="0" fillId="11" borderId="22" xfId="0" applyFont="1" applyFill="1" applyBorder="1" applyAlignment="1">
      <alignment horizontal="center" wrapText="1"/>
    </xf>
    <xf numFmtId="0" fontId="53" fillId="6" borderId="22" xfId="0" applyFont="1" applyFill="1" applyBorder="1" applyAlignment="1">
      <alignment horizontal="right"/>
    </xf>
    <xf numFmtId="0" fontId="53" fillId="12" borderId="22" xfId="0" applyFont="1" applyFill="1" applyBorder="1" applyAlignment="1">
      <alignment horizontal="center"/>
    </xf>
    <xf numFmtId="0" fontId="53" fillId="12" borderId="22" xfId="0" applyFont="1" applyFill="1" applyBorder="1" applyAlignment="1">
      <alignment horizontal="center" vertical="center" wrapText="1"/>
    </xf>
    <xf numFmtId="169" fontId="0" fillId="8" borderId="21" xfId="0" applyNumberFormat="1" applyFont="1" applyFill="1" applyBorder="1" applyAlignment="1">
      <alignment horizontal="center" vertical="center" wrapText="1"/>
    </xf>
    <xf numFmtId="0" fontId="0" fillId="12" borderId="22" xfId="0" applyFont="1" applyFill="1" applyBorder="1" applyAlignment="1">
      <alignment horizontal="right"/>
    </xf>
    <xf numFmtId="0" fontId="0" fillId="12" borderId="22" xfId="0" applyFont="1" applyFill="1" applyBorder="1" applyAlignment="1">
      <alignment horizontal="center"/>
    </xf>
    <xf numFmtId="2" fontId="0" fillId="12" borderId="22" xfId="0" applyNumberFormat="1" applyFont="1" applyFill="1" applyBorder="1" applyAlignment="1">
      <alignment horizontal="center"/>
    </xf>
    <xf numFmtId="0" fontId="53" fillId="6" borderId="21" xfId="49" applyNumberFormat="1" applyFont="1" applyFill="1" applyBorder="1" applyAlignment="1">
      <alignment horizontal="center" vertical="center"/>
    </xf>
    <xf numFmtId="0" fontId="28" fillId="12" borderId="22" xfId="49" applyFont="1" applyFill="1" applyBorder="1" applyAlignment="1" applyProtection="1">
      <alignment vertical="center" wrapText="1"/>
      <protection locked="0"/>
    </xf>
    <xf numFmtId="0" fontId="28" fillId="12" borderId="22" xfId="49" applyFont="1" applyFill="1" applyBorder="1" applyAlignment="1" applyProtection="1">
      <alignment horizontal="center" vertical="center"/>
      <protection locked="0"/>
    </xf>
    <xf numFmtId="0" fontId="0" fillId="11" borderId="21" xfId="49" applyFont="1" applyFill="1" applyBorder="1" applyAlignment="1">
      <alignment horizontal="center" vertical="center" wrapText="1"/>
    </xf>
    <xf numFmtId="0" fontId="23" fillId="11" borderId="22" xfId="49" applyNumberFormat="1" applyFont="1" applyFill="1" applyBorder="1" applyAlignment="1">
      <alignment horizontal="center" vertical="center" wrapText="1"/>
    </xf>
    <xf numFmtId="0" fontId="28" fillId="11" borderId="22" xfId="49" applyFont="1" applyFill="1" applyBorder="1" applyAlignment="1" applyProtection="1">
      <alignment vertical="center" wrapText="1"/>
      <protection locked="0"/>
    </xf>
    <xf numFmtId="0" fontId="56" fillId="11" borderId="22" xfId="49" applyFont="1" applyFill="1" applyBorder="1" applyAlignment="1" applyProtection="1">
      <alignment horizontal="center" vertical="center"/>
      <protection locked="0"/>
    </xf>
    <xf numFmtId="0" fontId="11" fillId="11" borderId="22" xfId="49" applyFont="1" applyFill="1" applyBorder="1" applyAlignment="1">
      <alignment horizontal="center" vertical="top" wrapText="1"/>
    </xf>
    <xf numFmtId="0" fontId="28" fillId="11" borderId="22" xfId="49" applyFont="1" applyFill="1" applyBorder="1" applyAlignment="1" applyProtection="1">
      <alignment horizontal="left" vertical="center" wrapText="1" indent="1"/>
      <protection locked="0"/>
    </xf>
    <xf numFmtId="2" fontId="56" fillId="11" borderId="22" xfId="49" applyNumberFormat="1" applyFont="1" applyFill="1" applyBorder="1" applyAlignment="1" applyProtection="1">
      <alignment horizontal="center" vertical="center"/>
      <protection locked="0"/>
    </xf>
    <xf numFmtId="3" fontId="0" fillId="11" borderId="21" xfId="0" applyNumberFormat="1" applyFill="1" applyBorder="1" applyAlignment="1">
      <alignment horizontal="center" vertical="center" wrapText="1"/>
    </xf>
    <xf numFmtId="0" fontId="0" fillId="11" borderId="21" xfId="49" applyFont="1" applyFill="1" applyBorder="1" applyAlignment="1">
      <alignment horizontal="center" vertical="top" wrapText="1"/>
    </xf>
    <xf numFmtId="2" fontId="53" fillId="11" borderId="22" xfId="49" applyNumberFormat="1" applyFont="1" applyFill="1" applyBorder="1" applyAlignment="1" applyProtection="1">
      <alignment horizontal="center" vertical="center"/>
      <protection locked="0"/>
    </xf>
    <xf numFmtId="0" fontId="11" fillId="11" borderId="21" xfId="49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21" fillId="0" borderId="0" xfId="36" applyFont="1" applyAlignment="1">
      <alignment horizontal="right"/>
    </xf>
    <xf numFmtId="0" fontId="21" fillId="0" borderId="0" xfId="36" applyFont="1" applyAlignment="1">
      <alignment horizontal="center" vertical="center"/>
    </xf>
    <xf numFmtId="0" fontId="19" fillId="0" borderId="1" xfId="36" applyFont="1" applyBorder="1" applyAlignment="1">
      <alignment horizontal="center" vertical="center" textRotation="90" wrapText="1"/>
    </xf>
    <xf numFmtId="0" fontId="19" fillId="0" borderId="3" xfId="36" applyFont="1" applyBorder="1" applyAlignment="1">
      <alignment horizontal="center" vertical="center" textRotation="90" wrapText="1"/>
    </xf>
    <xf numFmtId="0" fontId="19" fillId="0" borderId="2" xfId="36" applyFont="1" applyBorder="1" applyAlignment="1">
      <alignment horizontal="center" vertical="center" textRotation="90"/>
    </xf>
    <xf numFmtId="0" fontId="19" fillId="0" borderId="1" xfId="36" applyFont="1" applyBorder="1" applyAlignment="1">
      <alignment horizontal="center" vertical="center" textRotation="90"/>
    </xf>
    <xf numFmtId="0" fontId="19" fillId="0" borderId="3" xfId="36" applyFont="1" applyBorder="1" applyAlignment="1">
      <alignment horizontal="center" vertical="center" textRotation="90"/>
    </xf>
    <xf numFmtId="0" fontId="20" fillId="0" borderId="2" xfId="36" applyFont="1" applyBorder="1" applyAlignment="1">
      <alignment horizontal="center" vertical="center" wrapText="1"/>
    </xf>
    <xf numFmtId="0" fontId="19" fillId="0" borderId="2" xfId="36" applyFont="1" applyBorder="1" applyAlignment="1">
      <alignment horizontal="center" vertical="center" textRotation="90" wrapText="1"/>
    </xf>
    <xf numFmtId="0" fontId="21" fillId="0" borderId="0" xfId="36" applyFont="1" applyAlignment="1">
      <alignment horizontal="left" vertical="center" wrapText="1"/>
    </xf>
    <xf numFmtId="0" fontId="20" fillId="0" borderId="27" xfId="36" applyFont="1" applyBorder="1" applyAlignment="1">
      <alignment horizontal="center" vertical="center" wrapText="1"/>
    </xf>
    <xf numFmtId="0" fontId="20" fillId="0" borderId="28" xfId="36" applyFont="1" applyBorder="1" applyAlignment="1">
      <alignment horizontal="center" vertical="center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  <xf numFmtId="0" fontId="21" fillId="0" borderId="0" xfId="36" applyFont="1" applyAlignment="1">
      <alignment horizontal="left" vertical="center"/>
    </xf>
  </cellXfs>
  <cellStyles count="51">
    <cellStyle name="Comma 2" xfId="2"/>
    <cellStyle name="Comma 2 2" xfId="3"/>
    <cellStyle name="Comma 2 3" xfId="4"/>
    <cellStyle name="Comma 2 3 2" xfId="5"/>
    <cellStyle name="Comma 3" xfId="6"/>
    <cellStyle name="Comma 4" xfId="7"/>
    <cellStyle name="Comma 5" xfId="37"/>
    <cellStyle name="Date" xfId="8"/>
    <cellStyle name="Excel Built-in Normal" xfId="46"/>
    <cellStyle name="Fixed" xfId="9"/>
    <cellStyle name="Heading1" xfId="10"/>
    <cellStyle name="Heading2" xfId="11"/>
    <cellStyle name="Normal" xfId="0" builtinId="0"/>
    <cellStyle name="Normal 10" xfId="12"/>
    <cellStyle name="Normal 10 2" xfId="13"/>
    <cellStyle name="Normal 10 3" xfId="14"/>
    <cellStyle name="Normal 10 3 2" xfId="15"/>
    <cellStyle name="Normal 10 3 3" xfId="16"/>
    <cellStyle name="Normal 10 3 4" xfId="17"/>
    <cellStyle name="Normal 11" xfId="18"/>
    <cellStyle name="Normal 12" xfId="36"/>
    <cellStyle name="Normal 12 3" xfId="42"/>
    <cellStyle name="Normal 12 4" xfId="43"/>
    <cellStyle name="Normal 13" xfId="44"/>
    <cellStyle name="Normal 14" xfId="45"/>
    <cellStyle name="Normal 15" xfId="40"/>
    <cellStyle name="Normal 15 2" xfId="41"/>
    <cellStyle name="Normal 15 3" xfId="48"/>
    <cellStyle name="Normal 2" xfId="19"/>
    <cellStyle name="Normal 2 2" xfId="20"/>
    <cellStyle name="Normal 2 2 2" xfId="21"/>
    <cellStyle name="Normal 2 2_OlainesPP_Magonite_08_12_1(no groz)" xfId="22"/>
    <cellStyle name="Normal 2 3" xfId="23"/>
    <cellStyle name="Normal 2 3 2" xfId="24"/>
    <cellStyle name="Normal 3" xfId="25"/>
    <cellStyle name="Normal 4" xfId="26"/>
    <cellStyle name="Normal 45" xfId="39"/>
    <cellStyle name="Normal 5" xfId="1"/>
    <cellStyle name="Normal 5 2" xfId="27"/>
    <cellStyle name="Normal 5 2 2" xfId="38"/>
    <cellStyle name="Normal 5 3" xfId="28"/>
    <cellStyle name="Normal 5 4" xfId="47"/>
    <cellStyle name="Normal 6" xfId="29"/>
    <cellStyle name="Normal 7" xfId="30"/>
    <cellStyle name="Normal 8" xfId="31"/>
    <cellStyle name="Normal 9" xfId="32"/>
    <cellStyle name="Normal_RS_spec_vent_17.05" xfId="50"/>
    <cellStyle name="Normal_SandisP_rem_07" xfId="33"/>
    <cellStyle name="Style 1" xfId="34"/>
    <cellStyle name="TableStyleLight1" xfId="49"/>
    <cellStyle name="Стиль 1" xfId="35"/>
  </cellStyles>
  <dxfs count="4">
    <dxf>
      <font>
        <sz val="10"/>
        <name val="Arial"/>
      </font>
      <numFmt numFmtId="0" formatCode="General"/>
      <fill>
        <patternFill>
          <bgColor rgb="FFD99694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nis\AppData\Local\Temp\karklins\attachment\VII%20_B&#363;vniec&#299;bas%20t&#257;me(16.0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nis\AppData\Local\Temp\karklins\attachment\Baltex_Jelgava%20sporta%20zale_14.9_3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uv t"/>
      <sheetName val="Pas Koptame"/>
      <sheetName val="kops1"/>
      <sheetName val="1,1"/>
      <sheetName val="1,2"/>
      <sheetName val="1,3"/>
      <sheetName val="1,4"/>
      <sheetName val="1,5"/>
      <sheetName val="1,6"/>
      <sheetName val="1,7"/>
      <sheetName val="1,8"/>
      <sheetName val="1,9"/>
      <sheetName val="1,10"/>
      <sheetName val="1,11"/>
      <sheetName val="1,12"/>
      <sheetName val="1,13"/>
      <sheetName val="kops2"/>
      <sheetName val="2,1"/>
      <sheetName val="2,2"/>
      <sheetName val="2,3"/>
      <sheetName val="2,4"/>
      <sheetName val="2,5"/>
      <sheetName val="2,6"/>
      <sheetName val="2,7"/>
      <sheetName val="2,8"/>
      <sheetName val="2,9"/>
      <sheetName val="2,10"/>
      <sheetName val="2,11"/>
      <sheetName val="kops3"/>
      <sheetName val="3,1"/>
      <sheetName val="3,2"/>
      <sheetName val="3,3"/>
      <sheetName val="3,4"/>
      <sheetName val="3,5"/>
      <sheetName val="kops4"/>
      <sheetName val="4,1"/>
    </sheetNames>
    <sheetDataSet>
      <sheetData sheetId="0" refreshError="1"/>
      <sheetData sheetId="1" refreshError="1"/>
      <sheetData sheetId="2" refreshError="1"/>
      <sheetData sheetId="3" refreshError="1">
        <row r="21">
          <cell r="C21" t="str">
            <v>Sagatavošanas darbi, būvlaukuma uzturēšana</v>
          </cell>
        </row>
        <row r="22">
          <cell r="C22" t="str">
            <v>Demontāžas darbi</v>
          </cell>
        </row>
        <row r="23">
          <cell r="C23" t="str">
            <v>Zemes darbi</v>
          </cell>
        </row>
        <row r="24">
          <cell r="C24" t="str">
            <v>Pamati</v>
          </cell>
        </row>
        <row r="25">
          <cell r="C25" t="str">
            <v>Sienas</v>
          </cell>
        </row>
        <row r="26">
          <cell r="C26" t="str">
            <v>Pārsegums</v>
          </cell>
        </row>
        <row r="27">
          <cell r="C27" t="str">
            <v>Kāpnes</v>
          </cell>
        </row>
        <row r="28">
          <cell r="C28" t="str">
            <v>Jumti</v>
          </cell>
        </row>
        <row r="29">
          <cell r="C29" t="str">
            <v>Grīdas</v>
          </cell>
        </row>
        <row r="30">
          <cell r="C30" t="str">
            <v>Ailu aizpildījuma elementi</v>
          </cell>
        </row>
        <row r="31">
          <cell r="C31" t="str">
            <v>Iekšējie apdares darbi</v>
          </cell>
        </row>
        <row r="32">
          <cell r="C32" t="str">
            <v>Fasāde</v>
          </cell>
        </row>
        <row r="33">
          <cell r="C33" t="str">
            <v>Dažādi darbi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1">
          <cell r="C21" t="str">
            <v>Iekšējais ūdensvads</v>
          </cell>
        </row>
        <row r="22">
          <cell r="C22" t="str">
            <v>Iekšējā sadzīves kanalizācija</v>
          </cell>
        </row>
        <row r="23">
          <cell r="C23" t="str">
            <v>Apkure</v>
          </cell>
        </row>
        <row r="24">
          <cell r="C24" t="str">
            <v>Ventilācija</v>
          </cell>
        </row>
        <row r="25">
          <cell r="C25" t="str">
            <v>Siltuma mezgls</v>
          </cell>
        </row>
        <row r="26">
          <cell r="C26" t="str">
            <v>Elektroinstlācija</v>
          </cell>
        </row>
        <row r="27">
          <cell r="C27" t="str">
            <v>Telefonu, datoru UN TV tūkla sistēma</v>
          </cell>
        </row>
        <row r="28">
          <cell r="C28" t="str">
            <v>Apsardzes un piekļuves sistēmas iekārtas un ierīces</v>
          </cell>
        </row>
        <row r="29">
          <cell r="C29" t="str">
            <v>Ugunsgrēka atklāšanas un trauksmes signalizācijas sistēma</v>
          </cell>
        </row>
        <row r="30">
          <cell r="C30" t="str">
            <v>Videonovērošanas sistēmas iekārtas un ierīces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1">
          <cell r="C21" t="str">
            <v>Ārējie ūdensvadi Ū1;Ū2</v>
          </cell>
        </row>
        <row r="22">
          <cell r="C22" t="str">
            <v>Ārējā kanalizācija K1</v>
          </cell>
        </row>
        <row r="25">
          <cell r="C25" t="str">
            <v>ELT,teritorijas apgaismojums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v t"/>
      <sheetName val="Pas Koptame"/>
      <sheetName val="kops1"/>
      <sheetName val="1,1"/>
      <sheetName val="1,2"/>
      <sheetName val="1,3"/>
      <sheetName val="1,4"/>
      <sheetName val="1,5"/>
      <sheetName val="1,6"/>
      <sheetName val="1,7"/>
      <sheetName val="1,8"/>
      <sheetName val="1,9"/>
      <sheetName val="1,10"/>
      <sheetName val="1,11"/>
      <sheetName val="1,12"/>
      <sheetName val="1,13"/>
      <sheetName val="kops2"/>
      <sheetName val="2,1"/>
      <sheetName val="2,2"/>
      <sheetName val="2,3"/>
      <sheetName val="2,4"/>
      <sheetName val="2,5"/>
      <sheetName val="2,6"/>
      <sheetName val="2,7"/>
      <sheetName val="2,8"/>
      <sheetName val="2,9"/>
      <sheetName val="2,10"/>
      <sheetName val="2,11"/>
      <sheetName val="kops3"/>
      <sheetName val="3,1"/>
      <sheetName val="3,2"/>
      <sheetName val="3,3"/>
      <sheetName val="3,4"/>
      <sheetName val="3,5"/>
      <sheetName val="kops4"/>
      <sheetName val="4,1"/>
    </sheetNames>
    <sheetDataSet>
      <sheetData sheetId="0" refreshError="1"/>
      <sheetData sheetId="1" refreshError="1"/>
      <sheetData sheetId="2">
        <row r="21">
          <cell r="C21" t="str">
            <v>Sagatavošanas darbi, būvlaukuma uzturēšana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1">
          <cell r="C21" t="str">
            <v>Teritorijas labiekārtošana</v>
          </cell>
        </row>
      </sheetData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43"/>
  <sheetViews>
    <sheetView showZeros="0" view="pageBreakPreview" zoomScale="80" zoomScaleNormal="100" zoomScaleSheetLayoutView="80" workbookViewId="0">
      <selection activeCell="G19" sqref="G19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1.1000000000000001</v>
      </c>
      <c r="E1" s="36"/>
      <c r="F1" s="36"/>
      <c r="G1" s="36"/>
    </row>
    <row r="2" spans="1:7" s="9" customFormat="1" ht="15">
      <c r="A2" s="549" t="str">
        <f>C13</f>
        <v>Sagatavošanas darbi, būvlaukuma uzturēšana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">
        <v>25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">
        <v>29</v>
      </c>
      <c r="D4" s="557"/>
      <c r="E4" s="557"/>
      <c r="F4" s="557"/>
      <c r="G4" s="557"/>
    </row>
    <row r="5" spans="1:7" ht="15">
      <c r="A5" s="6"/>
      <c r="B5" s="6" t="s">
        <v>4</v>
      </c>
      <c r="C5" s="557" t="s">
        <v>28</v>
      </c>
      <c r="D5" s="557"/>
      <c r="E5" s="557"/>
      <c r="F5" s="557"/>
      <c r="G5" s="557"/>
    </row>
    <row r="6" spans="1:7">
      <c r="A6" s="6"/>
      <c r="B6" s="6" t="s">
        <v>18</v>
      </c>
      <c r="C6" s="43" t="s">
        <v>1098</v>
      </c>
      <c r="D6" s="7"/>
      <c r="E6" s="14"/>
      <c r="F6" s="37"/>
      <c r="G6" s="37"/>
    </row>
    <row r="7" spans="1:7" ht="33.75" customHeight="1">
      <c r="A7" s="547" t="s">
        <v>26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">
        <v>27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31.5">
      <c r="A13" s="91"/>
      <c r="B13" s="287"/>
      <c r="C13" s="93" t="str">
        <f>[2]kops1!C21</f>
        <v>Sagatavošanas darbi, būvlaukuma uzturēšana</v>
      </c>
      <c r="D13" s="94"/>
      <c r="E13" s="95"/>
      <c r="F13" s="23"/>
      <c r="G13" s="24"/>
    </row>
    <row r="14" spans="1:7" ht="38.25">
      <c r="A14" s="147">
        <v>1</v>
      </c>
      <c r="B14" s="135" t="s">
        <v>19</v>
      </c>
      <c r="C14" s="98" t="s">
        <v>1185</v>
      </c>
      <c r="D14" s="288" t="s">
        <v>33</v>
      </c>
      <c r="E14" s="289">
        <v>310</v>
      </c>
      <c r="F14" s="21"/>
      <c r="G14" s="22"/>
    </row>
    <row r="15" spans="1:7">
      <c r="A15" s="147">
        <v>2</v>
      </c>
      <c r="B15" s="135" t="s">
        <v>673</v>
      </c>
      <c r="C15" s="98" t="s">
        <v>761</v>
      </c>
      <c r="D15" s="288" t="s">
        <v>321</v>
      </c>
      <c r="E15" s="289">
        <v>1</v>
      </c>
      <c r="F15" s="21"/>
      <c r="G15" s="22"/>
    </row>
    <row r="16" spans="1:7">
      <c r="A16" s="147">
        <v>3</v>
      </c>
      <c r="B16" s="135" t="s">
        <v>673</v>
      </c>
      <c r="C16" s="98" t="s">
        <v>762</v>
      </c>
      <c r="D16" s="288" t="s">
        <v>321</v>
      </c>
      <c r="E16" s="289">
        <v>1</v>
      </c>
      <c r="F16" s="21"/>
      <c r="G16" s="22"/>
    </row>
    <row r="17" spans="1:7" ht="38.25">
      <c r="A17" s="147">
        <v>4</v>
      </c>
      <c r="B17" s="135" t="s">
        <v>19</v>
      </c>
      <c r="C17" s="98" t="s">
        <v>1186</v>
      </c>
      <c r="D17" s="288" t="s">
        <v>20</v>
      </c>
      <c r="E17" s="289">
        <v>3</v>
      </c>
      <c r="F17" s="21"/>
      <c r="G17" s="22"/>
    </row>
    <row r="18" spans="1:7" ht="25.5">
      <c r="A18" s="147">
        <v>5</v>
      </c>
      <c r="B18" s="135" t="s">
        <v>19</v>
      </c>
      <c r="C18" s="98" t="s">
        <v>763</v>
      </c>
      <c r="D18" s="288" t="s">
        <v>20</v>
      </c>
      <c r="E18" s="289">
        <v>2</v>
      </c>
      <c r="F18" s="21"/>
      <c r="G18" s="22"/>
    </row>
    <row r="19" spans="1:7" ht="25.5">
      <c r="A19" s="147">
        <v>6</v>
      </c>
      <c r="B19" s="135" t="s">
        <v>19</v>
      </c>
      <c r="C19" s="98" t="s">
        <v>764</v>
      </c>
      <c r="D19" s="288" t="s">
        <v>20</v>
      </c>
      <c r="E19" s="289">
        <v>2</v>
      </c>
      <c r="F19" s="21"/>
      <c r="G19" s="22"/>
    </row>
    <row r="20" spans="1:7">
      <c r="A20" s="147">
        <v>7</v>
      </c>
      <c r="B20" s="135" t="s">
        <v>19</v>
      </c>
      <c r="C20" s="98" t="s">
        <v>765</v>
      </c>
      <c r="D20" s="288" t="s">
        <v>22</v>
      </c>
      <c r="E20" s="289">
        <v>7</v>
      </c>
      <c r="F20" s="21"/>
      <c r="G20" s="22"/>
    </row>
    <row r="21" spans="1:7" ht="25.5">
      <c r="A21" s="147">
        <v>8</v>
      </c>
      <c r="B21" s="135" t="s">
        <v>19</v>
      </c>
      <c r="C21" s="98" t="s">
        <v>766</v>
      </c>
      <c r="D21" s="288" t="s">
        <v>20</v>
      </c>
      <c r="E21" s="289">
        <v>1</v>
      </c>
      <c r="F21" s="21"/>
      <c r="G21" s="22"/>
    </row>
    <row r="22" spans="1:7">
      <c r="A22" s="147">
        <v>9</v>
      </c>
      <c r="B22" s="135" t="s">
        <v>19</v>
      </c>
      <c r="C22" s="98" t="s">
        <v>1187</v>
      </c>
      <c r="D22" s="288" t="s">
        <v>22</v>
      </c>
      <c r="E22" s="289">
        <v>7</v>
      </c>
      <c r="F22" s="21"/>
      <c r="G22" s="22"/>
    </row>
    <row r="23" spans="1:7">
      <c r="A23" s="147">
        <v>10</v>
      </c>
      <c r="B23" s="135" t="s">
        <v>19</v>
      </c>
      <c r="C23" s="98" t="s">
        <v>21</v>
      </c>
      <c r="D23" s="288" t="s">
        <v>22</v>
      </c>
      <c r="E23" s="289">
        <v>7</v>
      </c>
      <c r="F23" s="21"/>
      <c r="G23" s="22"/>
    </row>
    <row r="24" spans="1:7" ht="25.5">
      <c r="A24" s="147">
        <v>11</v>
      </c>
      <c r="B24" s="135" t="s">
        <v>19</v>
      </c>
      <c r="C24" s="98" t="s">
        <v>767</v>
      </c>
      <c r="D24" s="288" t="s">
        <v>20</v>
      </c>
      <c r="E24" s="289">
        <v>1</v>
      </c>
      <c r="F24" s="21"/>
      <c r="G24" s="22"/>
    </row>
    <row r="25" spans="1:7" ht="25.5">
      <c r="A25" s="147">
        <v>12</v>
      </c>
      <c r="B25" s="135" t="s">
        <v>19</v>
      </c>
      <c r="C25" s="98" t="s">
        <v>768</v>
      </c>
      <c r="D25" s="288" t="s">
        <v>20</v>
      </c>
      <c r="E25" s="289">
        <v>10</v>
      </c>
      <c r="F25" s="21"/>
      <c r="G25" s="22"/>
    </row>
    <row r="26" spans="1:7">
      <c r="A26" s="147">
        <v>13</v>
      </c>
      <c r="B26" s="135" t="s">
        <v>19</v>
      </c>
      <c r="C26" s="98" t="s">
        <v>769</v>
      </c>
      <c r="D26" s="288" t="s">
        <v>44</v>
      </c>
      <c r="E26" s="289">
        <v>1</v>
      </c>
      <c r="F26" s="21"/>
      <c r="G26" s="22"/>
    </row>
    <row r="27" spans="1:7" ht="25.5">
      <c r="A27" s="147">
        <v>14</v>
      </c>
      <c r="B27" s="135" t="s">
        <v>19</v>
      </c>
      <c r="C27" s="98" t="s">
        <v>770</v>
      </c>
      <c r="D27" s="288" t="s">
        <v>44</v>
      </c>
      <c r="E27" s="289">
        <v>1</v>
      </c>
      <c r="F27" s="21"/>
      <c r="G27" s="22"/>
    </row>
    <row r="28" spans="1:7" ht="25.5">
      <c r="A28" s="147">
        <v>15</v>
      </c>
      <c r="B28" s="135" t="s">
        <v>19</v>
      </c>
      <c r="C28" s="98" t="s">
        <v>771</v>
      </c>
      <c r="D28" s="288" t="s">
        <v>711</v>
      </c>
      <c r="E28" s="289">
        <v>185</v>
      </c>
      <c r="F28" s="21"/>
      <c r="G28" s="22"/>
    </row>
    <row r="29" spans="1:7" s="17" customFormat="1">
      <c r="A29" s="28"/>
      <c r="B29" s="29"/>
      <c r="C29" s="30"/>
      <c r="D29" s="31"/>
      <c r="E29" s="12"/>
      <c r="F29" s="12"/>
      <c r="G29" s="32"/>
    </row>
    <row r="30" spans="1:7" ht="15">
      <c r="A30" s="13"/>
      <c r="B30" s="13"/>
      <c r="C30" s="18"/>
      <c r="D30" s="19"/>
      <c r="E30" s="18"/>
      <c r="F30" s="18" t="s">
        <v>6</v>
      </c>
      <c r="G30" s="20"/>
    </row>
    <row r="32" spans="1:7" s="25" customFormat="1" ht="12.75" customHeight="1">
      <c r="B32" s="26" t="s">
        <v>13</v>
      </c>
    </row>
    <row r="33" spans="1:7" s="25" customFormat="1" ht="45" customHeight="1">
      <c r="A33" s="546" t="s">
        <v>16</v>
      </c>
      <c r="B33" s="546"/>
      <c r="C33" s="546"/>
      <c r="D33" s="546"/>
      <c r="E33" s="546"/>
      <c r="F33" s="546"/>
      <c r="G33" s="546"/>
    </row>
    <row r="34" spans="1:7" s="25" customFormat="1" ht="96" customHeight="1">
      <c r="A34" s="546"/>
      <c r="B34" s="546"/>
      <c r="C34" s="546"/>
      <c r="D34" s="546"/>
      <c r="E34" s="546"/>
      <c r="F34" s="546"/>
      <c r="G34" s="546"/>
    </row>
    <row r="35" spans="1:7" s="25" customFormat="1" ht="12.75" customHeight="1">
      <c r="B35" s="27"/>
    </row>
    <row r="36" spans="1:7">
      <c r="B36" s="5" t="s">
        <v>0</v>
      </c>
    </row>
    <row r="37" spans="1:7" ht="14.25" customHeight="1">
      <c r="C37" s="33" t="s">
        <v>1</v>
      </c>
    </row>
    <row r="38" spans="1:7">
      <c r="C38" s="34" t="s">
        <v>11</v>
      </c>
      <c r="D38" s="35"/>
    </row>
    <row r="41" spans="1:7">
      <c r="B41" s="41" t="s">
        <v>12</v>
      </c>
      <c r="C41" s="42"/>
    </row>
    <row r="42" spans="1:7">
      <c r="B42" s="2"/>
      <c r="C42" s="33" t="s">
        <v>14</v>
      </c>
    </row>
    <row r="43" spans="1:7">
      <c r="B43" s="1"/>
      <c r="C43" s="34" t="s">
        <v>15</v>
      </c>
    </row>
  </sheetData>
  <mergeCells count="15">
    <mergeCell ref="A34:G34"/>
    <mergeCell ref="A33:G33"/>
    <mergeCell ref="A7:G7"/>
    <mergeCell ref="A1:C1"/>
    <mergeCell ref="A2:G2"/>
    <mergeCell ref="G11:G12"/>
    <mergeCell ref="A11:A12"/>
    <mergeCell ref="B11:B12"/>
    <mergeCell ref="C11:C12"/>
    <mergeCell ref="D11:D12"/>
    <mergeCell ref="E11:E12"/>
    <mergeCell ref="F11:F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3"/>
  <sheetViews>
    <sheetView showZeros="0" view="pageBreakPreview" zoomScale="80" zoomScaleNormal="100" zoomScaleSheetLayoutView="80" workbookViewId="0">
      <selection activeCell="E55" sqref="E5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1.1000000000000001</v>
      </c>
      <c r="E1" s="36"/>
      <c r="F1" s="36"/>
      <c r="G1" s="36"/>
    </row>
    <row r="2" spans="1:7" s="9" customFormat="1" ht="15">
      <c r="A2" s="549" t="str">
        <f>C13</f>
        <v>Ailu aizpildījuma elementi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>
        <v>0</v>
      </c>
      <c r="C13" s="93" t="str">
        <f>[2]kops1!C30</f>
        <v>Ailu aizpildījuma elementi</v>
      </c>
      <c r="D13" s="94"/>
      <c r="E13" s="95"/>
      <c r="F13" s="23"/>
      <c r="G13" s="24"/>
    </row>
    <row r="14" spans="1:7" ht="25.5">
      <c r="A14" s="79">
        <v>1</v>
      </c>
      <c r="B14" s="76" t="s">
        <v>852</v>
      </c>
      <c r="C14" s="80" t="s">
        <v>1010</v>
      </c>
      <c r="D14" s="78" t="s">
        <v>711</v>
      </c>
      <c r="E14" s="77">
        <v>72.599999999999994</v>
      </c>
      <c r="F14" s="21"/>
      <c r="G14" s="22"/>
    </row>
    <row r="15" spans="1:7">
      <c r="A15" s="79">
        <v>0</v>
      </c>
      <c r="B15" s="76">
        <v>0</v>
      </c>
      <c r="C15" s="68" t="s">
        <v>1127</v>
      </c>
      <c r="D15" s="78" t="s">
        <v>20</v>
      </c>
      <c r="E15" s="77">
        <v>9</v>
      </c>
      <c r="F15" s="21"/>
      <c r="G15" s="22"/>
    </row>
    <row r="16" spans="1:7">
      <c r="A16" s="79">
        <v>0</v>
      </c>
      <c r="B16" s="76"/>
      <c r="C16" s="68" t="s">
        <v>1128</v>
      </c>
      <c r="D16" s="78" t="s">
        <v>20</v>
      </c>
      <c r="E16" s="77">
        <v>3</v>
      </c>
      <c r="F16" s="21"/>
      <c r="G16" s="22"/>
    </row>
    <row r="17" spans="1:7">
      <c r="A17" s="81">
        <v>0</v>
      </c>
      <c r="B17" s="82"/>
      <c r="C17" s="83" t="s">
        <v>1129</v>
      </c>
      <c r="D17" s="84" t="s">
        <v>20</v>
      </c>
      <c r="E17" s="85">
        <v>10</v>
      </c>
      <c r="F17" s="21"/>
      <c r="G17" s="22"/>
    </row>
    <row r="18" spans="1:7" ht="25.5">
      <c r="A18" s="81">
        <v>0</v>
      </c>
      <c r="B18" s="82"/>
      <c r="C18" s="83" t="s">
        <v>1130</v>
      </c>
      <c r="D18" s="84" t="s">
        <v>20</v>
      </c>
      <c r="E18" s="85">
        <v>2</v>
      </c>
      <c r="F18" s="21"/>
      <c r="G18" s="22"/>
    </row>
    <row r="19" spans="1:7" ht="25.5">
      <c r="A19" s="81">
        <v>0</v>
      </c>
      <c r="B19" s="82"/>
      <c r="C19" s="471" t="s">
        <v>1335</v>
      </c>
      <c r="D19" s="84" t="s">
        <v>20</v>
      </c>
      <c r="E19" s="85">
        <v>4</v>
      </c>
      <c r="F19" s="21"/>
      <c r="G19" s="22"/>
    </row>
    <row r="20" spans="1:7" ht="25.5">
      <c r="A20" s="81">
        <v>0</v>
      </c>
      <c r="B20" s="82"/>
      <c r="C20" s="471" t="s">
        <v>1336</v>
      </c>
      <c r="D20" s="84" t="s">
        <v>20</v>
      </c>
      <c r="E20" s="85">
        <v>3</v>
      </c>
      <c r="F20" s="21"/>
      <c r="G20" s="22"/>
    </row>
    <row r="21" spans="1:7" ht="25.5">
      <c r="A21" s="81">
        <v>0</v>
      </c>
      <c r="B21" s="82"/>
      <c r="C21" s="471" t="s">
        <v>1337</v>
      </c>
      <c r="D21" s="84" t="s">
        <v>20</v>
      </c>
      <c r="E21" s="85">
        <v>1</v>
      </c>
      <c r="F21" s="21"/>
      <c r="G21" s="22"/>
    </row>
    <row r="22" spans="1:7">
      <c r="A22" s="81">
        <v>0</v>
      </c>
      <c r="B22" s="82"/>
      <c r="C22" s="83" t="s">
        <v>1131</v>
      </c>
      <c r="D22" s="84" t="s">
        <v>20</v>
      </c>
      <c r="E22" s="85">
        <v>6</v>
      </c>
      <c r="F22" s="21"/>
      <c r="G22" s="22"/>
    </row>
    <row r="23" spans="1:7" ht="25.5">
      <c r="A23" s="81">
        <v>0</v>
      </c>
      <c r="B23" s="82">
        <v>0</v>
      </c>
      <c r="C23" s="83" t="s">
        <v>1103</v>
      </c>
      <c r="D23" s="84" t="s">
        <v>711</v>
      </c>
      <c r="E23" s="85">
        <f>E14</f>
        <v>72.599999999999994</v>
      </c>
      <c r="F23" s="21"/>
      <c r="G23" s="22"/>
    </row>
    <row r="24" spans="1:7" ht="25.5">
      <c r="A24" s="81">
        <v>2</v>
      </c>
      <c r="B24" s="82" t="s">
        <v>852</v>
      </c>
      <c r="C24" s="86" t="s">
        <v>1012</v>
      </c>
      <c r="D24" s="84" t="s">
        <v>711</v>
      </c>
      <c r="E24" s="85">
        <v>15.4</v>
      </c>
      <c r="F24" s="21"/>
      <c r="G24" s="22"/>
    </row>
    <row r="25" spans="1:7">
      <c r="A25" s="81">
        <v>0</v>
      </c>
      <c r="B25" s="82">
        <v>0</v>
      </c>
      <c r="C25" s="471" t="s">
        <v>1340</v>
      </c>
      <c r="D25" s="84" t="s">
        <v>20</v>
      </c>
      <c r="E25" s="85">
        <v>1</v>
      </c>
      <c r="F25" s="21"/>
      <c r="G25" s="22"/>
    </row>
    <row r="26" spans="1:7" ht="25.5">
      <c r="A26" s="81">
        <v>0</v>
      </c>
      <c r="B26" s="82">
        <v>0</v>
      </c>
      <c r="C26" s="83" t="s">
        <v>1103</v>
      </c>
      <c r="D26" s="84" t="s">
        <v>711</v>
      </c>
      <c r="E26" s="85">
        <f>E24</f>
        <v>15.4</v>
      </c>
      <c r="F26" s="21"/>
      <c r="G26" s="22"/>
    </row>
    <row r="27" spans="1:7">
      <c r="A27" s="87">
        <v>3</v>
      </c>
      <c r="B27" s="82" t="s">
        <v>852</v>
      </c>
      <c r="C27" s="86" t="s">
        <v>1013</v>
      </c>
      <c r="D27" s="84" t="s">
        <v>850</v>
      </c>
      <c r="E27" s="85">
        <v>69</v>
      </c>
      <c r="F27" s="21"/>
      <c r="G27" s="22"/>
    </row>
    <row r="28" spans="1:7" ht="42.75" customHeight="1">
      <c r="A28" s="87">
        <v>0</v>
      </c>
      <c r="B28" s="82">
        <v>0</v>
      </c>
      <c r="C28" s="88" t="s">
        <v>1014</v>
      </c>
      <c r="D28" s="84" t="s">
        <v>850</v>
      </c>
      <c r="E28" s="85">
        <f>1.05*E27</f>
        <v>72.45</v>
      </c>
      <c r="F28" s="21"/>
      <c r="G28" s="22"/>
    </row>
    <row r="29" spans="1:7" ht="25.5">
      <c r="A29" s="87">
        <v>0</v>
      </c>
      <c r="B29" s="82">
        <v>0</v>
      </c>
      <c r="C29" s="83" t="s">
        <v>1103</v>
      </c>
      <c r="D29" s="84" t="s">
        <v>850</v>
      </c>
      <c r="E29" s="85">
        <f>E27</f>
        <v>69</v>
      </c>
      <c r="F29" s="21"/>
      <c r="G29" s="22"/>
    </row>
    <row r="30" spans="1:7">
      <c r="A30" s="87">
        <v>4</v>
      </c>
      <c r="B30" s="82" t="s">
        <v>852</v>
      </c>
      <c r="C30" s="89" t="s">
        <v>1015</v>
      </c>
      <c r="D30" s="84" t="s">
        <v>850</v>
      </c>
      <c r="E30" s="85">
        <v>69</v>
      </c>
      <c r="F30" s="21"/>
      <c r="G30" s="22"/>
    </row>
    <row r="31" spans="1:7">
      <c r="A31" s="87">
        <v>0</v>
      </c>
      <c r="B31" s="82">
        <v>0</v>
      </c>
      <c r="C31" s="83" t="s">
        <v>1016</v>
      </c>
      <c r="D31" s="84" t="s">
        <v>850</v>
      </c>
      <c r="E31" s="85">
        <f>1.05*E30</f>
        <v>72.45</v>
      </c>
      <c r="F31" s="21"/>
      <c r="G31" s="22"/>
    </row>
    <row r="32" spans="1:7">
      <c r="A32" s="87">
        <v>0</v>
      </c>
      <c r="B32" s="82">
        <v>0</v>
      </c>
      <c r="C32" s="88" t="s">
        <v>1017</v>
      </c>
      <c r="D32" s="84" t="s">
        <v>850</v>
      </c>
      <c r="E32" s="85">
        <f>E30</f>
        <v>69</v>
      </c>
      <c r="F32" s="21"/>
      <c r="G32" s="22"/>
    </row>
    <row r="33" spans="1:7" ht="25.5">
      <c r="A33" s="81">
        <v>5</v>
      </c>
      <c r="B33" s="82" t="s">
        <v>852</v>
      </c>
      <c r="C33" s="86" t="s">
        <v>1018</v>
      </c>
      <c r="D33" s="84" t="s">
        <v>711</v>
      </c>
      <c r="E33" s="85">
        <v>48.2</v>
      </c>
      <c r="F33" s="21"/>
      <c r="G33" s="22"/>
    </row>
    <row r="34" spans="1:7" ht="25.5">
      <c r="A34" s="81">
        <v>0</v>
      </c>
      <c r="B34" s="82">
        <v>0</v>
      </c>
      <c r="C34" s="83" t="s">
        <v>1238</v>
      </c>
      <c r="D34" s="84" t="s">
        <v>20</v>
      </c>
      <c r="E34" s="85">
        <v>3</v>
      </c>
      <c r="F34" s="21"/>
      <c r="G34" s="22"/>
    </row>
    <row r="35" spans="1:7" ht="25.5">
      <c r="A35" s="81">
        <v>0</v>
      </c>
      <c r="B35" s="82"/>
      <c r="C35" s="83" t="s">
        <v>1239</v>
      </c>
      <c r="D35" s="84" t="s">
        <v>20</v>
      </c>
      <c r="E35" s="85">
        <v>4</v>
      </c>
      <c r="F35" s="21"/>
      <c r="G35" s="22"/>
    </row>
    <row r="36" spans="1:7" ht="25.5">
      <c r="A36" s="81">
        <v>0</v>
      </c>
      <c r="B36" s="82"/>
      <c r="C36" s="471" t="s">
        <v>1240</v>
      </c>
      <c r="D36" s="473" t="s">
        <v>20</v>
      </c>
      <c r="E36" s="474">
        <v>4</v>
      </c>
      <c r="F36" s="21"/>
      <c r="G36" s="22"/>
    </row>
    <row r="37" spans="1:7">
      <c r="A37" s="81">
        <v>0</v>
      </c>
      <c r="B37" s="82"/>
      <c r="C37" s="471" t="s">
        <v>1339</v>
      </c>
      <c r="D37" s="473" t="s">
        <v>20</v>
      </c>
      <c r="E37" s="474">
        <v>1</v>
      </c>
      <c r="F37" s="21"/>
      <c r="G37" s="22"/>
    </row>
    <row r="38" spans="1:7" ht="25.5">
      <c r="A38" s="81">
        <v>0</v>
      </c>
      <c r="B38" s="82"/>
      <c r="C38" s="83" t="s">
        <v>1241</v>
      </c>
      <c r="D38" s="84" t="s">
        <v>20</v>
      </c>
      <c r="E38" s="85">
        <v>1</v>
      </c>
      <c r="F38" s="21"/>
      <c r="G38" s="22"/>
    </row>
    <row r="39" spans="1:7" ht="25.5">
      <c r="A39" s="81">
        <v>0</v>
      </c>
      <c r="B39" s="82">
        <v>0</v>
      </c>
      <c r="C39" s="83" t="s">
        <v>1103</v>
      </c>
      <c r="D39" s="84" t="s">
        <v>711</v>
      </c>
      <c r="E39" s="85">
        <f>E33</f>
        <v>48.2</v>
      </c>
      <c r="F39" s="21"/>
      <c r="G39" s="22"/>
    </row>
    <row r="40" spans="1:7" ht="28.5" customHeight="1">
      <c r="A40" s="81">
        <v>6</v>
      </c>
      <c r="B40" s="82" t="s">
        <v>852</v>
      </c>
      <c r="C40" s="86" t="s">
        <v>1019</v>
      </c>
      <c r="D40" s="84" t="s">
        <v>711</v>
      </c>
      <c r="E40" s="474">
        <f>80-1*2.1-0.9*2.1</f>
        <v>76.010000000000005</v>
      </c>
      <c r="F40" s="21"/>
      <c r="G40" s="22"/>
    </row>
    <row r="41" spans="1:7">
      <c r="A41" s="81">
        <v>0</v>
      </c>
      <c r="B41" s="82">
        <v>0</v>
      </c>
      <c r="C41" s="90" t="s">
        <v>1020</v>
      </c>
      <c r="D41" s="84" t="s">
        <v>20</v>
      </c>
      <c r="E41" s="85">
        <v>17</v>
      </c>
      <c r="F41" s="21"/>
      <c r="G41" s="22"/>
    </row>
    <row r="42" spans="1:7">
      <c r="A42" s="81">
        <v>0</v>
      </c>
      <c r="B42" s="82">
        <v>0</v>
      </c>
      <c r="C42" s="90" t="s">
        <v>1021</v>
      </c>
      <c r="D42" s="84" t="s">
        <v>20</v>
      </c>
      <c r="E42" s="85">
        <v>2</v>
      </c>
      <c r="F42" s="21"/>
      <c r="G42" s="22"/>
    </row>
    <row r="43" spans="1:7">
      <c r="A43" s="81">
        <v>0</v>
      </c>
      <c r="B43" s="82"/>
      <c r="C43" s="90" t="s">
        <v>1022</v>
      </c>
      <c r="D43" s="84" t="s">
        <v>20</v>
      </c>
      <c r="E43" s="85">
        <v>1</v>
      </c>
      <c r="F43" s="21"/>
      <c r="G43" s="22"/>
    </row>
    <row r="44" spans="1:7">
      <c r="A44" s="81">
        <v>0</v>
      </c>
      <c r="B44" s="82"/>
      <c r="C44" s="90" t="s">
        <v>1023</v>
      </c>
      <c r="D44" s="84" t="s">
        <v>20</v>
      </c>
      <c r="E44" s="85">
        <v>4</v>
      </c>
      <c r="F44" s="21"/>
      <c r="G44" s="22"/>
    </row>
    <row r="45" spans="1:7">
      <c r="A45" s="81">
        <v>0</v>
      </c>
      <c r="B45" s="82"/>
      <c r="C45" s="90" t="s">
        <v>1245</v>
      </c>
      <c r="D45" s="84" t="s">
        <v>20</v>
      </c>
      <c r="E45" s="474">
        <v>4</v>
      </c>
      <c r="F45" s="21"/>
      <c r="G45" s="22"/>
    </row>
    <row r="46" spans="1:7">
      <c r="A46" s="81">
        <v>0</v>
      </c>
      <c r="B46" s="82"/>
      <c r="C46" s="90" t="s">
        <v>1244</v>
      </c>
      <c r="D46" s="84" t="s">
        <v>20</v>
      </c>
      <c r="E46" s="85">
        <v>5</v>
      </c>
      <c r="F46" s="21"/>
      <c r="G46" s="22"/>
    </row>
    <row r="47" spans="1:7">
      <c r="A47" s="81">
        <v>0</v>
      </c>
      <c r="B47" s="82"/>
      <c r="C47" s="90" t="s">
        <v>1243</v>
      </c>
      <c r="D47" s="84" t="s">
        <v>20</v>
      </c>
      <c r="E47" s="85">
        <v>2</v>
      </c>
      <c r="F47" s="21"/>
      <c r="G47" s="22"/>
    </row>
    <row r="48" spans="1:7">
      <c r="A48" s="81">
        <v>0</v>
      </c>
      <c r="B48" s="82"/>
      <c r="C48" s="90" t="s">
        <v>1242</v>
      </c>
      <c r="D48" s="84" t="s">
        <v>20</v>
      </c>
      <c r="E48" s="474">
        <v>1</v>
      </c>
      <c r="F48" s="21"/>
      <c r="G48" s="22"/>
    </row>
    <row r="49" spans="1:7">
      <c r="A49" s="81">
        <v>0</v>
      </c>
      <c r="B49" s="82">
        <v>0</v>
      </c>
      <c r="C49" s="88" t="s">
        <v>1011</v>
      </c>
      <c r="D49" s="84" t="s">
        <v>711</v>
      </c>
      <c r="E49" s="85">
        <f>E40</f>
        <v>76.010000000000005</v>
      </c>
      <c r="F49" s="21"/>
      <c r="G49" s="22"/>
    </row>
    <row r="50" spans="1:7" ht="25.5">
      <c r="A50" s="81">
        <v>7</v>
      </c>
      <c r="B50" s="82" t="s">
        <v>852</v>
      </c>
      <c r="C50" s="86" t="s">
        <v>1104</v>
      </c>
      <c r="D50" s="84" t="s">
        <v>711</v>
      </c>
      <c r="E50" s="85">
        <v>19</v>
      </c>
      <c r="F50" s="21"/>
      <c r="G50" s="22"/>
    </row>
    <row r="51" spans="1:7" ht="38.25">
      <c r="A51" s="81">
        <v>0</v>
      </c>
      <c r="B51" s="82">
        <v>0</v>
      </c>
      <c r="C51" s="83" t="s">
        <v>1132</v>
      </c>
      <c r="D51" s="84" t="s">
        <v>20</v>
      </c>
      <c r="E51" s="85">
        <v>1</v>
      </c>
      <c r="F51" s="21"/>
      <c r="G51" s="22"/>
    </row>
    <row r="52" spans="1:7" ht="38.25">
      <c r="A52" s="81">
        <v>0</v>
      </c>
      <c r="B52" s="82"/>
      <c r="C52" s="83" t="s">
        <v>1133</v>
      </c>
      <c r="D52" s="84" t="s">
        <v>20</v>
      </c>
      <c r="E52" s="85">
        <v>4</v>
      </c>
      <c r="F52" s="21"/>
      <c r="G52" s="22"/>
    </row>
    <row r="53" spans="1:7">
      <c r="A53" s="81">
        <v>0</v>
      </c>
      <c r="B53" s="82">
        <v>0</v>
      </c>
      <c r="C53" s="88" t="s">
        <v>1011</v>
      </c>
      <c r="D53" s="84" t="s">
        <v>711</v>
      </c>
      <c r="E53" s="85">
        <f>E50</f>
        <v>19</v>
      </c>
      <c r="F53" s="21"/>
      <c r="G53" s="22"/>
    </row>
    <row r="54" spans="1:7" ht="25.5">
      <c r="A54" s="81">
        <v>8</v>
      </c>
      <c r="B54" s="82" t="s">
        <v>852</v>
      </c>
      <c r="C54" s="86" t="s">
        <v>1105</v>
      </c>
      <c r="D54" s="84" t="s">
        <v>711</v>
      </c>
      <c r="E54" s="85">
        <v>11</v>
      </c>
      <c r="F54" s="21"/>
      <c r="G54" s="22"/>
    </row>
    <row r="55" spans="1:7" ht="38.25">
      <c r="A55" s="81">
        <v>0</v>
      </c>
      <c r="B55" s="82">
        <v>0</v>
      </c>
      <c r="C55" s="83" t="s">
        <v>1134</v>
      </c>
      <c r="D55" s="84" t="s">
        <v>20</v>
      </c>
      <c r="E55" s="85">
        <v>1</v>
      </c>
      <c r="F55" s="21"/>
      <c r="G55" s="22"/>
    </row>
    <row r="56" spans="1:7" ht="38.25">
      <c r="A56" s="81">
        <v>0</v>
      </c>
      <c r="B56" s="82"/>
      <c r="C56" s="83" t="s">
        <v>1135</v>
      </c>
      <c r="D56" s="84" t="s">
        <v>20</v>
      </c>
      <c r="E56" s="85">
        <v>2</v>
      </c>
      <c r="F56" s="52"/>
      <c r="G56" s="53"/>
    </row>
    <row r="57" spans="1:7">
      <c r="A57" s="81">
        <v>0</v>
      </c>
      <c r="B57" s="82">
        <v>0</v>
      </c>
      <c r="C57" s="88" t="s">
        <v>1011</v>
      </c>
      <c r="D57" s="84" t="s">
        <v>711</v>
      </c>
      <c r="E57" s="85">
        <f>E54</f>
        <v>11</v>
      </c>
      <c r="F57" s="52"/>
      <c r="G57" s="53"/>
    </row>
    <row r="58" spans="1:7" ht="25.5">
      <c r="A58" s="81">
        <v>9</v>
      </c>
      <c r="B58" s="82" t="s">
        <v>957</v>
      </c>
      <c r="C58" s="86" t="s">
        <v>1024</v>
      </c>
      <c r="D58" s="84" t="s">
        <v>33</v>
      </c>
      <c r="E58" s="85">
        <v>380</v>
      </c>
      <c r="F58" s="52"/>
      <c r="G58" s="53"/>
    </row>
    <row r="59" spans="1:7" s="17" customFormat="1">
      <c r="A59" s="28"/>
      <c r="B59" s="29"/>
      <c r="C59" s="30"/>
      <c r="D59" s="31"/>
      <c r="E59" s="12"/>
      <c r="F59" s="12"/>
      <c r="G59" s="32"/>
    </row>
    <row r="60" spans="1:7" ht="15">
      <c r="A60" s="13"/>
      <c r="B60" s="13"/>
      <c r="C60" s="18"/>
      <c r="D60" s="19"/>
      <c r="E60" s="18"/>
      <c r="F60" s="18" t="s">
        <v>6</v>
      </c>
      <c r="G60" s="20"/>
    </row>
    <row r="62" spans="1:7" s="25" customFormat="1" ht="12.75" customHeight="1">
      <c r="B62" s="26" t="str">
        <f>'1,1'!B32</f>
        <v>Piezīmes:</v>
      </c>
    </row>
    <row r="63" spans="1:7" s="25" customFormat="1" ht="45" customHeight="1">
      <c r="A63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63" s="546"/>
      <c r="C63" s="546"/>
      <c r="D63" s="546"/>
      <c r="E63" s="546"/>
      <c r="F63" s="546"/>
      <c r="G63" s="546"/>
    </row>
    <row r="64" spans="1:7" s="25" customFormat="1" ht="12.75" customHeight="1">
      <c r="A64" s="546">
        <f>'1,1'!$A$34</f>
        <v>0</v>
      </c>
      <c r="B64" s="546"/>
      <c r="C64" s="546"/>
      <c r="D64" s="546"/>
      <c r="E64" s="546"/>
      <c r="F64" s="546"/>
      <c r="G64" s="546"/>
    </row>
    <row r="65" spans="2:4" s="25" customFormat="1" ht="12.75" customHeight="1">
      <c r="B65" s="27"/>
    </row>
    <row r="66" spans="2:4">
      <c r="B66" s="5" t="str">
        <f>'1,1'!B36</f>
        <v>Sastādīja:</v>
      </c>
    </row>
    <row r="67" spans="2:4" ht="14.25" customHeight="1">
      <c r="C67" s="33" t="str">
        <f>'1,1'!C37</f>
        <v>Arnis Gailītis</v>
      </c>
    </row>
    <row r="68" spans="2:4">
      <c r="C68" s="34" t="str">
        <f>'1,1'!C38</f>
        <v>Sertifikāta Nr.20-5643</v>
      </c>
      <c r="D68" s="35"/>
    </row>
    <row r="71" spans="2:4">
      <c r="B71" s="40" t="str">
        <f>'1,1'!B41</f>
        <v>Pārbaudīja:</v>
      </c>
      <c r="C71" s="3"/>
    </row>
    <row r="72" spans="2:4">
      <c r="B72" s="2"/>
      <c r="C72" s="33" t="str">
        <f>'1,1'!C42</f>
        <v>Aivars Mauriņš</v>
      </c>
    </row>
    <row r="73" spans="2:4">
      <c r="B73" s="1"/>
      <c r="C73" s="34" t="str">
        <f>'1,1'!C43</f>
        <v>Sertifikāta Nr.20-5957</v>
      </c>
    </row>
  </sheetData>
  <mergeCells count="15">
    <mergeCell ref="A64:G64"/>
    <mergeCell ref="A63:G63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8"/>
  <sheetViews>
    <sheetView showZeros="0" view="pageBreakPreview" topLeftCell="A40" zoomScale="80" zoomScaleNormal="100" zoomScaleSheetLayoutView="80" workbookViewId="0">
      <selection activeCell="E46" sqref="E46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1.1100000000000001</v>
      </c>
      <c r="E1" s="36"/>
      <c r="F1" s="36"/>
      <c r="G1" s="36"/>
    </row>
    <row r="2" spans="1:7" s="9" customFormat="1" ht="15">
      <c r="A2" s="549" t="str">
        <f>C13</f>
        <v>Iekšējie apdares darbi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>
        <v>0</v>
      </c>
      <c r="C13" s="93" t="str">
        <f>[2]kops1!C31</f>
        <v>Iekšējie apdares darbi</v>
      </c>
      <c r="D13" s="94"/>
      <c r="E13" s="95"/>
      <c r="F13" s="23"/>
      <c r="G13" s="24"/>
    </row>
    <row r="14" spans="1:7">
      <c r="A14" s="108">
        <v>0</v>
      </c>
      <c r="B14" s="109"/>
      <c r="C14" s="361" t="s">
        <v>1025</v>
      </c>
      <c r="D14" s="341"/>
      <c r="E14" s="278"/>
      <c r="F14" s="21"/>
      <c r="G14" s="22"/>
    </row>
    <row r="15" spans="1:7">
      <c r="A15" s="332">
        <v>1</v>
      </c>
      <c r="B15" s="97" t="s">
        <v>852</v>
      </c>
      <c r="C15" s="105" t="s">
        <v>1026</v>
      </c>
      <c r="D15" s="102" t="s">
        <v>711</v>
      </c>
      <c r="E15" s="99">
        <v>243.5</v>
      </c>
      <c r="F15" s="21"/>
      <c r="G15" s="22"/>
    </row>
    <row r="16" spans="1:7">
      <c r="A16" s="332">
        <v>0</v>
      </c>
      <c r="B16" s="97">
        <v>0</v>
      </c>
      <c r="C16" s="343" t="s">
        <v>1027</v>
      </c>
      <c r="D16" s="102" t="s">
        <v>711</v>
      </c>
      <c r="E16" s="99">
        <f>E15</f>
        <v>243.5</v>
      </c>
      <c r="F16" s="21"/>
      <c r="G16" s="22"/>
    </row>
    <row r="17" spans="1:7" ht="51">
      <c r="A17" s="332">
        <v>0</v>
      </c>
      <c r="B17" s="97">
        <v>0</v>
      </c>
      <c r="C17" s="343" t="s">
        <v>1028</v>
      </c>
      <c r="D17" s="102" t="s">
        <v>711</v>
      </c>
      <c r="E17" s="99">
        <f>E15</f>
        <v>243.5</v>
      </c>
      <c r="F17" s="21"/>
      <c r="G17" s="22"/>
    </row>
    <row r="18" spans="1:7" ht="25.5">
      <c r="A18" s="332">
        <v>2</v>
      </c>
      <c r="B18" s="97" t="s">
        <v>901</v>
      </c>
      <c r="C18" s="362" t="s">
        <v>1029</v>
      </c>
      <c r="D18" s="102" t="s">
        <v>711</v>
      </c>
      <c r="E18" s="99">
        <f>171+30-21.5</f>
        <v>179.5</v>
      </c>
      <c r="F18" s="21"/>
      <c r="G18" s="22"/>
    </row>
    <row r="19" spans="1:7">
      <c r="A19" s="332">
        <v>0</v>
      </c>
      <c r="B19" s="97">
        <v>0</v>
      </c>
      <c r="C19" s="363" t="s">
        <v>1030</v>
      </c>
      <c r="D19" s="364" t="s">
        <v>107</v>
      </c>
      <c r="E19" s="99">
        <f>15.75*E18</f>
        <v>2827.125</v>
      </c>
      <c r="F19" s="21"/>
      <c r="G19" s="22"/>
    </row>
    <row r="20" spans="1:7">
      <c r="A20" s="332">
        <v>0</v>
      </c>
      <c r="B20" s="97">
        <v>0</v>
      </c>
      <c r="C20" s="363" t="s">
        <v>1031</v>
      </c>
      <c r="D20" s="364" t="s">
        <v>107</v>
      </c>
      <c r="E20" s="99">
        <f>0.1*E18</f>
        <v>17.95</v>
      </c>
      <c r="F20" s="21"/>
      <c r="G20" s="22"/>
    </row>
    <row r="21" spans="1:7">
      <c r="A21" s="332">
        <v>3</v>
      </c>
      <c r="B21" s="97" t="s">
        <v>901</v>
      </c>
      <c r="C21" s="362" t="s">
        <v>1032</v>
      </c>
      <c r="D21" s="102" t="s">
        <v>711</v>
      </c>
      <c r="E21" s="99">
        <v>21.5</v>
      </c>
      <c r="F21" s="21"/>
      <c r="G21" s="22"/>
    </row>
    <row r="22" spans="1:7">
      <c r="A22" s="332">
        <v>0</v>
      </c>
      <c r="B22" s="97">
        <v>0</v>
      </c>
      <c r="C22" s="363" t="s">
        <v>1033</v>
      </c>
      <c r="D22" s="364" t="s">
        <v>107</v>
      </c>
      <c r="E22" s="99">
        <f>14*1*E21</f>
        <v>301</v>
      </c>
      <c r="F22" s="21"/>
      <c r="G22" s="22"/>
    </row>
    <row r="23" spans="1:7">
      <c r="A23" s="332">
        <v>0</v>
      </c>
      <c r="B23" s="97">
        <v>0</v>
      </c>
      <c r="C23" s="363" t="s">
        <v>1031</v>
      </c>
      <c r="D23" s="364" t="s">
        <v>107</v>
      </c>
      <c r="E23" s="99">
        <f>0.1*E21</f>
        <v>2.15</v>
      </c>
      <c r="F23" s="21"/>
      <c r="G23" s="22"/>
    </row>
    <row r="24" spans="1:7" ht="25.5">
      <c r="A24" s="96">
        <v>4</v>
      </c>
      <c r="B24" s="97" t="s">
        <v>901</v>
      </c>
      <c r="C24" s="98" t="s">
        <v>1034</v>
      </c>
      <c r="D24" s="95" t="s">
        <v>711</v>
      </c>
      <c r="E24" s="99">
        <v>764.4</v>
      </c>
      <c r="F24" s="21"/>
      <c r="G24" s="22"/>
    </row>
    <row r="25" spans="1:7">
      <c r="A25" s="100">
        <v>0</v>
      </c>
      <c r="B25" s="97">
        <v>0</v>
      </c>
      <c r="C25" s="101" t="s">
        <v>1035</v>
      </c>
      <c r="D25" s="102" t="s">
        <v>850</v>
      </c>
      <c r="E25" s="99">
        <f>0.9*E24</f>
        <v>687.96</v>
      </c>
      <c r="F25" s="21"/>
      <c r="G25" s="22"/>
    </row>
    <row r="26" spans="1:7">
      <c r="A26" s="96">
        <v>0</v>
      </c>
      <c r="B26" s="97">
        <v>0</v>
      </c>
      <c r="C26" s="101" t="s">
        <v>868</v>
      </c>
      <c r="D26" s="95" t="s">
        <v>856</v>
      </c>
      <c r="E26" s="99">
        <f>0.01*E24</f>
        <v>7.6440000000000001</v>
      </c>
      <c r="F26" s="21"/>
      <c r="G26" s="22"/>
    </row>
    <row r="27" spans="1:7">
      <c r="A27" s="100">
        <v>0</v>
      </c>
      <c r="B27" s="97">
        <v>0</v>
      </c>
      <c r="C27" s="101" t="s">
        <v>1036</v>
      </c>
      <c r="D27" s="102" t="s">
        <v>20</v>
      </c>
      <c r="E27" s="99">
        <f>1.4*E24</f>
        <v>1070.1599999999999</v>
      </c>
      <c r="F27" s="21"/>
      <c r="G27" s="22"/>
    </row>
    <row r="28" spans="1:7">
      <c r="A28" s="96">
        <v>0</v>
      </c>
      <c r="B28" s="97">
        <v>0</v>
      </c>
      <c r="C28" s="101" t="s">
        <v>1037</v>
      </c>
      <c r="D28" s="102" t="s">
        <v>20</v>
      </c>
      <c r="E28" s="489">
        <f>0.7*E24*1.1</f>
        <v>588.58799999999997</v>
      </c>
      <c r="F28" s="21"/>
      <c r="G28" s="22"/>
    </row>
    <row r="29" spans="1:7">
      <c r="A29" s="100">
        <v>0</v>
      </c>
      <c r="B29" s="97">
        <v>0</v>
      </c>
      <c r="C29" s="101" t="s">
        <v>1038</v>
      </c>
      <c r="D29" s="102" t="s">
        <v>20</v>
      </c>
      <c r="E29" s="489">
        <f>0.7*E24*1.1</f>
        <v>588.58799999999997</v>
      </c>
      <c r="F29" s="21"/>
      <c r="G29" s="22"/>
    </row>
    <row r="30" spans="1:7">
      <c r="A30" s="96">
        <v>0</v>
      </c>
      <c r="B30" s="97">
        <v>0</v>
      </c>
      <c r="C30" s="101" t="s">
        <v>1039</v>
      </c>
      <c r="D30" s="102" t="s">
        <v>850</v>
      </c>
      <c r="E30" s="99">
        <f>3*E24</f>
        <v>2293.1999999999998</v>
      </c>
      <c r="F30" s="21"/>
      <c r="G30" s="22"/>
    </row>
    <row r="31" spans="1:7">
      <c r="A31" s="100">
        <v>0</v>
      </c>
      <c r="B31" s="97">
        <v>0</v>
      </c>
      <c r="C31" s="101" t="s">
        <v>1040</v>
      </c>
      <c r="D31" s="102" t="s">
        <v>20</v>
      </c>
      <c r="E31" s="99">
        <f>1.7*E24</f>
        <v>1299.48</v>
      </c>
      <c r="F31" s="21"/>
      <c r="G31" s="22"/>
    </row>
    <row r="32" spans="1:7">
      <c r="A32" s="100"/>
      <c r="B32" s="97"/>
      <c r="C32" s="492" t="s">
        <v>1341</v>
      </c>
      <c r="D32" s="488" t="s">
        <v>20</v>
      </c>
      <c r="E32" s="489">
        <f>0.2*E24</f>
        <v>152.88</v>
      </c>
      <c r="F32" s="21"/>
      <c r="G32" s="22"/>
    </row>
    <row r="33" spans="1:7">
      <c r="A33" s="96">
        <v>5</v>
      </c>
      <c r="B33" s="97" t="s">
        <v>901</v>
      </c>
      <c r="C33" s="98" t="s">
        <v>1041</v>
      </c>
      <c r="D33" s="95" t="s">
        <v>711</v>
      </c>
      <c r="E33" s="99">
        <v>715.3</v>
      </c>
      <c r="F33" s="21"/>
      <c r="G33" s="22"/>
    </row>
    <row r="34" spans="1:7">
      <c r="A34" s="100">
        <v>0</v>
      </c>
      <c r="B34" s="97">
        <v>0</v>
      </c>
      <c r="C34" s="101" t="s">
        <v>1042</v>
      </c>
      <c r="D34" s="95" t="s">
        <v>711</v>
      </c>
      <c r="E34" s="99">
        <f>1.05*E33</f>
        <v>751.06499999999994</v>
      </c>
      <c r="F34" s="21"/>
      <c r="G34" s="22"/>
    </row>
    <row r="35" spans="1:7">
      <c r="A35" s="96">
        <v>0</v>
      </c>
      <c r="B35" s="97">
        <v>0</v>
      </c>
      <c r="C35" s="101" t="s">
        <v>874</v>
      </c>
      <c r="D35" s="95" t="s">
        <v>856</v>
      </c>
      <c r="E35" s="489">
        <f>0.3*E33</f>
        <v>214.58999999999997</v>
      </c>
      <c r="F35" s="21"/>
      <c r="G35" s="22"/>
    </row>
    <row r="36" spans="1:7" ht="25.5">
      <c r="A36" s="100">
        <v>6</v>
      </c>
      <c r="B36" s="97" t="s">
        <v>901</v>
      </c>
      <c r="C36" s="98" t="s">
        <v>1043</v>
      </c>
      <c r="D36" s="95" t="s">
        <v>711</v>
      </c>
      <c r="E36" s="99">
        <v>38</v>
      </c>
      <c r="F36" s="21"/>
      <c r="G36" s="22"/>
    </row>
    <row r="37" spans="1:7">
      <c r="A37" s="96">
        <v>0</v>
      </c>
      <c r="B37" s="97">
        <v>0</v>
      </c>
      <c r="C37" s="101" t="s">
        <v>1044</v>
      </c>
      <c r="D37" s="95" t="s">
        <v>711</v>
      </c>
      <c r="E37" s="99">
        <f>1.05*E36</f>
        <v>39.9</v>
      </c>
      <c r="F37" s="21"/>
      <c r="G37" s="22"/>
    </row>
    <row r="38" spans="1:7">
      <c r="A38" s="100">
        <v>0</v>
      </c>
      <c r="B38" s="97">
        <v>0</v>
      </c>
      <c r="C38" s="101" t="s">
        <v>874</v>
      </c>
      <c r="D38" s="95" t="s">
        <v>856</v>
      </c>
      <c r="E38" s="489">
        <f>0.3*E36</f>
        <v>11.4</v>
      </c>
      <c r="F38" s="21"/>
      <c r="G38" s="22"/>
    </row>
    <row r="39" spans="1:7" ht="25.5">
      <c r="A39" s="96">
        <v>7</v>
      </c>
      <c r="B39" s="97" t="s">
        <v>852</v>
      </c>
      <c r="C39" s="98" t="s">
        <v>1045</v>
      </c>
      <c r="D39" s="95" t="s">
        <v>711</v>
      </c>
      <c r="E39" s="99">
        <v>11.1</v>
      </c>
      <c r="F39" s="21"/>
      <c r="G39" s="22"/>
    </row>
    <row r="40" spans="1:7">
      <c r="A40" s="100">
        <v>0</v>
      </c>
      <c r="B40" s="97">
        <v>0</v>
      </c>
      <c r="C40" s="101" t="s">
        <v>874</v>
      </c>
      <c r="D40" s="95" t="s">
        <v>856</v>
      </c>
      <c r="E40" s="489">
        <f>0.099*E39</f>
        <v>1.0989</v>
      </c>
      <c r="F40" s="21"/>
      <c r="G40" s="22"/>
    </row>
    <row r="41" spans="1:7">
      <c r="A41" s="96">
        <v>0</v>
      </c>
      <c r="B41" s="97">
        <v>0</v>
      </c>
      <c r="C41" s="101" t="s">
        <v>875</v>
      </c>
      <c r="D41" s="95" t="s">
        <v>856</v>
      </c>
      <c r="E41" s="489">
        <f>0.27*1.1*E39</f>
        <v>3.2967000000000004</v>
      </c>
      <c r="F41" s="21"/>
      <c r="G41" s="22"/>
    </row>
    <row r="42" spans="1:7">
      <c r="A42" s="100">
        <v>0</v>
      </c>
      <c r="B42" s="97">
        <v>0</v>
      </c>
      <c r="C42" s="101" t="s">
        <v>1046</v>
      </c>
      <c r="D42" s="95" t="s">
        <v>711</v>
      </c>
      <c r="E42" s="99">
        <f>2.2*E39</f>
        <v>24.42</v>
      </c>
      <c r="F42" s="21"/>
      <c r="G42" s="22"/>
    </row>
    <row r="43" spans="1:7" ht="25.5">
      <c r="A43" s="96">
        <v>8</v>
      </c>
      <c r="B43" s="97" t="s">
        <v>901</v>
      </c>
      <c r="C43" s="98" t="s">
        <v>1219</v>
      </c>
      <c r="D43" s="95" t="s">
        <v>711</v>
      </c>
      <c r="E43" s="99">
        <v>764.4</v>
      </c>
      <c r="F43" s="21"/>
      <c r="G43" s="22"/>
    </row>
    <row r="44" spans="1:7">
      <c r="A44" s="100">
        <v>0</v>
      </c>
      <c r="B44" s="97">
        <v>0</v>
      </c>
      <c r="C44" s="336" t="s">
        <v>1047</v>
      </c>
      <c r="D44" s="102" t="s">
        <v>850</v>
      </c>
      <c r="E44" s="99">
        <f>0.75*E43</f>
        <v>573.29999999999995</v>
      </c>
      <c r="F44" s="21"/>
      <c r="G44" s="22"/>
    </row>
    <row r="45" spans="1:7">
      <c r="A45" s="96">
        <v>0</v>
      </c>
      <c r="B45" s="97">
        <v>0</v>
      </c>
      <c r="C45" s="336" t="s">
        <v>1048</v>
      </c>
      <c r="D45" s="102" t="s">
        <v>107</v>
      </c>
      <c r="E45" s="99">
        <f>0.3*E43</f>
        <v>229.32</v>
      </c>
      <c r="F45" s="21"/>
      <c r="G45" s="22"/>
    </row>
    <row r="46" spans="1:7">
      <c r="A46" s="100">
        <v>0</v>
      </c>
      <c r="B46" s="97">
        <v>0</v>
      </c>
      <c r="C46" s="336" t="s">
        <v>1049</v>
      </c>
      <c r="D46" s="102" t="s">
        <v>107</v>
      </c>
      <c r="E46" s="99">
        <f>2.4*E43</f>
        <v>1834.56</v>
      </c>
      <c r="F46" s="21"/>
      <c r="G46" s="22"/>
    </row>
    <row r="47" spans="1:7">
      <c r="A47" s="96">
        <v>0</v>
      </c>
      <c r="B47" s="97">
        <v>0</v>
      </c>
      <c r="C47" s="336" t="s">
        <v>1050</v>
      </c>
      <c r="D47" s="95" t="s">
        <v>711</v>
      </c>
      <c r="E47" s="99">
        <f>0.02*E43</f>
        <v>15.288</v>
      </c>
      <c r="F47" s="21"/>
      <c r="G47" s="22"/>
    </row>
    <row r="48" spans="1:7" ht="25.5">
      <c r="A48" s="332">
        <v>9</v>
      </c>
      <c r="B48" s="97" t="s">
        <v>901</v>
      </c>
      <c r="C48" s="105" t="s">
        <v>1220</v>
      </c>
      <c r="D48" s="102" t="s">
        <v>711</v>
      </c>
      <c r="E48" s="99">
        <v>179.5</v>
      </c>
      <c r="F48" s="21"/>
      <c r="G48" s="22"/>
    </row>
    <row r="49" spans="1:7">
      <c r="A49" s="332">
        <v>0</v>
      </c>
      <c r="B49" s="97">
        <v>0</v>
      </c>
      <c r="C49" s="343" t="s">
        <v>1051</v>
      </c>
      <c r="D49" s="102" t="s">
        <v>541</v>
      </c>
      <c r="E49" s="99">
        <f>0.1*E48</f>
        <v>17.95</v>
      </c>
      <c r="F49" s="21"/>
      <c r="G49" s="22"/>
    </row>
    <row r="50" spans="1:7">
      <c r="A50" s="332">
        <v>0</v>
      </c>
      <c r="B50" s="97">
        <v>0</v>
      </c>
      <c r="C50" s="343" t="s">
        <v>1049</v>
      </c>
      <c r="D50" s="102" t="s">
        <v>107</v>
      </c>
      <c r="E50" s="99">
        <f>2.4*E48</f>
        <v>430.8</v>
      </c>
      <c r="F50" s="21"/>
      <c r="G50" s="22"/>
    </row>
    <row r="51" spans="1:7">
      <c r="A51" s="332">
        <v>0</v>
      </c>
      <c r="B51" s="97">
        <v>0</v>
      </c>
      <c r="C51" s="343" t="s">
        <v>1050</v>
      </c>
      <c r="D51" s="102" t="s">
        <v>711</v>
      </c>
      <c r="E51" s="99">
        <f>0.02*E48</f>
        <v>3.59</v>
      </c>
      <c r="F51" s="21"/>
      <c r="G51" s="22"/>
    </row>
    <row r="52" spans="1:7" ht="25.5">
      <c r="A52" s="332">
        <v>10</v>
      </c>
      <c r="B52" s="97" t="s">
        <v>901</v>
      </c>
      <c r="C52" s="105" t="s">
        <v>1221</v>
      </c>
      <c r="D52" s="102" t="s">
        <v>711</v>
      </c>
      <c r="E52" s="99">
        <v>943.9</v>
      </c>
      <c r="F52" s="21"/>
      <c r="G52" s="22"/>
    </row>
    <row r="53" spans="1:7">
      <c r="A53" s="332">
        <v>0</v>
      </c>
      <c r="B53" s="97">
        <v>0</v>
      </c>
      <c r="C53" s="343" t="s">
        <v>1052</v>
      </c>
      <c r="D53" s="102" t="s">
        <v>541</v>
      </c>
      <c r="E53" s="99">
        <f>0.15*E52</f>
        <v>141.58499999999998</v>
      </c>
      <c r="F53" s="21"/>
      <c r="G53" s="22"/>
    </row>
    <row r="54" spans="1:7" ht="25.5">
      <c r="A54" s="332">
        <v>11</v>
      </c>
      <c r="B54" s="97" t="s">
        <v>901</v>
      </c>
      <c r="C54" s="105" t="s">
        <v>1222</v>
      </c>
      <c r="D54" s="102" t="s">
        <v>711</v>
      </c>
      <c r="E54" s="99">
        <v>943.9</v>
      </c>
      <c r="F54" s="21"/>
      <c r="G54" s="22"/>
    </row>
    <row r="55" spans="1:7">
      <c r="A55" s="332">
        <v>0</v>
      </c>
      <c r="B55" s="97">
        <v>0</v>
      </c>
      <c r="C55" s="343" t="s">
        <v>1223</v>
      </c>
      <c r="D55" s="102" t="s">
        <v>541</v>
      </c>
      <c r="E55" s="99">
        <f>0.3*E54</f>
        <v>283.16999999999996</v>
      </c>
      <c r="F55" s="21"/>
      <c r="G55" s="22"/>
    </row>
    <row r="56" spans="1:7">
      <c r="A56" s="108">
        <v>0</v>
      </c>
      <c r="B56" s="109"/>
      <c r="C56" s="361" t="s">
        <v>1053</v>
      </c>
      <c r="D56" s="341"/>
      <c r="E56" s="278"/>
      <c r="F56" s="21"/>
      <c r="G56" s="22"/>
    </row>
    <row r="57" spans="1:7">
      <c r="A57" s="332">
        <v>12</v>
      </c>
      <c r="B57" s="97" t="s">
        <v>901</v>
      </c>
      <c r="C57" s="105" t="s">
        <v>1054</v>
      </c>
      <c r="D57" s="102" t="s">
        <v>711</v>
      </c>
      <c r="E57" s="99">
        <f>2146.5-64.5</f>
        <v>2082</v>
      </c>
      <c r="F57" s="21"/>
      <c r="G57" s="22"/>
    </row>
    <row r="58" spans="1:7">
      <c r="A58" s="332">
        <v>0</v>
      </c>
      <c r="B58" s="97">
        <v>0</v>
      </c>
      <c r="C58" s="343" t="s">
        <v>1055</v>
      </c>
      <c r="D58" s="364" t="s">
        <v>107</v>
      </c>
      <c r="E58" s="99">
        <f>10.5*1.5*E57</f>
        <v>32791.5</v>
      </c>
      <c r="F58" s="21"/>
      <c r="G58" s="22"/>
    </row>
    <row r="59" spans="1:7">
      <c r="A59" s="332">
        <v>0</v>
      </c>
      <c r="B59" s="97">
        <v>0</v>
      </c>
      <c r="C59" s="343" t="s">
        <v>1031</v>
      </c>
      <c r="D59" s="364" t="s">
        <v>107</v>
      </c>
      <c r="E59" s="99">
        <f>0.15*E57</f>
        <v>312.3</v>
      </c>
      <c r="F59" s="21"/>
      <c r="G59" s="22"/>
    </row>
    <row r="60" spans="1:7">
      <c r="A60" s="332">
        <v>13</v>
      </c>
      <c r="B60" s="97" t="s">
        <v>901</v>
      </c>
      <c r="C60" s="362" t="s">
        <v>1032</v>
      </c>
      <c r="D60" s="102" t="s">
        <v>711</v>
      </c>
      <c r="E60" s="99">
        <v>64.5</v>
      </c>
      <c r="F60" s="21"/>
      <c r="G60" s="22"/>
    </row>
    <row r="61" spans="1:7">
      <c r="A61" s="332">
        <v>0</v>
      </c>
      <c r="B61" s="97">
        <v>0</v>
      </c>
      <c r="C61" s="363" t="s">
        <v>1033</v>
      </c>
      <c r="D61" s="364" t="s">
        <v>107</v>
      </c>
      <c r="E61" s="99">
        <f>14*1*E60</f>
        <v>903</v>
      </c>
      <c r="F61" s="21"/>
      <c r="G61" s="22"/>
    </row>
    <row r="62" spans="1:7">
      <c r="A62" s="332">
        <v>0</v>
      </c>
      <c r="B62" s="97">
        <v>0</v>
      </c>
      <c r="C62" s="363" t="s">
        <v>1031</v>
      </c>
      <c r="D62" s="364" t="s">
        <v>107</v>
      </c>
      <c r="E62" s="99">
        <f>0.1*E60</f>
        <v>6.45</v>
      </c>
      <c r="F62" s="21"/>
      <c r="G62" s="22"/>
    </row>
    <row r="63" spans="1:7" ht="25.5">
      <c r="A63" s="332">
        <v>14</v>
      </c>
      <c r="B63" s="97" t="s">
        <v>901</v>
      </c>
      <c r="C63" s="105" t="s">
        <v>1056</v>
      </c>
      <c r="D63" s="102" t="s">
        <v>850</v>
      </c>
      <c r="E63" s="99">
        <v>287</v>
      </c>
      <c r="F63" s="21"/>
      <c r="G63" s="22"/>
    </row>
    <row r="64" spans="1:7">
      <c r="A64" s="332">
        <v>0</v>
      </c>
      <c r="B64" s="97">
        <v>0</v>
      </c>
      <c r="C64" s="343" t="s">
        <v>1055</v>
      </c>
      <c r="D64" s="364" t="s">
        <v>107</v>
      </c>
      <c r="E64" s="99">
        <f>16.5*0.25*E63</f>
        <v>1183.875</v>
      </c>
      <c r="F64" s="21"/>
      <c r="G64" s="22"/>
    </row>
    <row r="65" spans="1:7">
      <c r="A65" s="332">
        <v>0</v>
      </c>
      <c r="B65" s="97">
        <v>0</v>
      </c>
      <c r="C65" s="343" t="s">
        <v>1031</v>
      </c>
      <c r="D65" s="364" t="s">
        <v>107</v>
      </c>
      <c r="E65" s="99">
        <f>0.15*0.25*E63</f>
        <v>10.762499999999999</v>
      </c>
      <c r="F65" s="21"/>
      <c r="G65" s="22"/>
    </row>
    <row r="66" spans="1:7">
      <c r="A66" s="332">
        <v>0</v>
      </c>
      <c r="B66" s="97">
        <v>0</v>
      </c>
      <c r="C66" s="343" t="s">
        <v>1224</v>
      </c>
      <c r="D66" s="102" t="s">
        <v>850</v>
      </c>
      <c r="E66" s="99">
        <f>E63*1.1</f>
        <v>315.70000000000005</v>
      </c>
      <c r="F66" s="21"/>
      <c r="G66" s="22"/>
    </row>
    <row r="67" spans="1:7">
      <c r="A67" s="332">
        <v>15</v>
      </c>
      <c r="B67" s="97" t="s">
        <v>901</v>
      </c>
      <c r="C67" s="105" t="s">
        <v>1225</v>
      </c>
      <c r="D67" s="102" t="s">
        <v>711</v>
      </c>
      <c r="E67" s="99">
        <v>2036.5</v>
      </c>
      <c r="F67" s="21"/>
      <c r="G67" s="22"/>
    </row>
    <row r="68" spans="1:7">
      <c r="A68" s="332">
        <v>0</v>
      </c>
      <c r="B68" s="97">
        <v>0</v>
      </c>
      <c r="C68" s="343" t="s">
        <v>1051</v>
      </c>
      <c r="D68" s="102" t="s">
        <v>541</v>
      </c>
      <c r="E68" s="99">
        <f>0.1*E67</f>
        <v>203.65</v>
      </c>
      <c r="F68" s="21"/>
      <c r="G68" s="22"/>
    </row>
    <row r="69" spans="1:7">
      <c r="A69" s="332">
        <v>0</v>
      </c>
      <c r="B69" s="97">
        <v>0</v>
      </c>
      <c r="C69" s="343" t="s">
        <v>1049</v>
      </c>
      <c r="D69" s="102" t="s">
        <v>107</v>
      </c>
      <c r="E69" s="99">
        <f>2.4*E67</f>
        <v>4887.5999999999995</v>
      </c>
      <c r="F69" s="21"/>
      <c r="G69" s="22"/>
    </row>
    <row r="70" spans="1:7">
      <c r="A70" s="332">
        <v>0</v>
      </c>
      <c r="B70" s="97">
        <v>0</v>
      </c>
      <c r="C70" s="343" t="s">
        <v>1050</v>
      </c>
      <c r="D70" s="102" t="s">
        <v>711</v>
      </c>
      <c r="E70" s="99">
        <f>0.02*E67</f>
        <v>40.730000000000004</v>
      </c>
      <c r="F70" s="21"/>
      <c r="G70" s="22"/>
    </row>
    <row r="71" spans="1:7" ht="25.5">
      <c r="A71" s="332">
        <v>16</v>
      </c>
      <c r="B71" s="97" t="s">
        <v>901</v>
      </c>
      <c r="C71" s="105" t="s">
        <v>1219</v>
      </c>
      <c r="D71" s="102" t="s">
        <v>711</v>
      </c>
      <c r="E71" s="99">
        <v>800.5</v>
      </c>
      <c r="F71" s="21"/>
      <c r="G71" s="22"/>
    </row>
    <row r="72" spans="1:7">
      <c r="A72" s="332">
        <v>0</v>
      </c>
      <c r="B72" s="97">
        <v>0</v>
      </c>
      <c r="C72" s="343" t="s">
        <v>1047</v>
      </c>
      <c r="D72" s="102" t="s">
        <v>850</v>
      </c>
      <c r="E72" s="99">
        <f>0.75*E71</f>
        <v>600.375</v>
      </c>
      <c r="F72" s="21"/>
      <c r="G72" s="22"/>
    </row>
    <row r="73" spans="1:7">
      <c r="A73" s="332">
        <v>0</v>
      </c>
      <c r="B73" s="97">
        <v>0</v>
      </c>
      <c r="C73" s="343" t="s">
        <v>1048</v>
      </c>
      <c r="D73" s="102" t="s">
        <v>107</v>
      </c>
      <c r="E73" s="99">
        <f>0.3*E71</f>
        <v>240.14999999999998</v>
      </c>
      <c r="F73" s="21"/>
      <c r="G73" s="22"/>
    </row>
    <row r="74" spans="1:7">
      <c r="A74" s="332">
        <v>0</v>
      </c>
      <c r="B74" s="97">
        <v>0</v>
      </c>
      <c r="C74" s="343" t="s">
        <v>1049</v>
      </c>
      <c r="D74" s="102" t="s">
        <v>107</v>
      </c>
      <c r="E74" s="99">
        <f>2.4*E71</f>
        <v>1921.1999999999998</v>
      </c>
      <c r="F74" s="21"/>
      <c r="G74" s="22"/>
    </row>
    <row r="75" spans="1:7">
      <c r="A75" s="332">
        <v>0</v>
      </c>
      <c r="B75" s="97">
        <v>0</v>
      </c>
      <c r="C75" s="343" t="s">
        <v>1050</v>
      </c>
      <c r="D75" s="102" t="s">
        <v>711</v>
      </c>
      <c r="E75" s="99">
        <f>0.02*E71</f>
        <v>16.010000000000002</v>
      </c>
      <c r="F75" s="21"/>
      <c r="G75" s="22"/>
    </row>
    <row r="76" spans="1:7" ht="25.5">
      <c r="A76" s="332">
        <v>17</v>
      </c>
      <c r="B76" s="97" t="s">
        <v>901</v>
      </c>
      <c r="C76" s="105" t="s">
        <v>1226</v>
      </c>
      <c r="D76" s="102" t="s">
        <v>850</v>
      </c>
      <c r="E76" s="99">
        <v>287</v>
      </c>
      <c r="F76" s="21"/>
      <c r="G76" s="22"/>
    </row>
    <row r="77" spans="1:7">
      <c r="A77" s="332">
        <v>0</v>
      </c>
      <c r="B77" s="97">
        <v>0</v>
      </c>
      <c r="C77" s="343" t="s">
        <v>1051</v>
      </c>
      <c r="D77" s="102" t="s">
        <v>541</v>
      </c>
      <c r="E77" s="99">
        <f>0.1*0.3*E76</f>
        <v>8.61</v>
      </c>
      <c r="F77" s="21"/>
      <c r="G77" s="22"/>
    </row>
    <row r="78" spans="1:7">
      <c r="A78" s="332">
        <v>0</v>
      </c>
      <c r="B78" s="97">
        <v>0</v>
      </c>
      <c r="C78" s="343" t="s">
        <v>1049</v>
      </c>
      <c r="D78" s="102" t="s">
        <v>107</v>
      </c>
      <c r="E78" s="99">
        <f>2.4*0.3*E76</f>
        <v>206.64</v>
      </c>
      <c r="F78" s="21"/>
      <c r="G78" s="22"/>
    </row>
    <row r="79" spans="1:7">
      <c r="A79" s="332">
        <v>0</v>
      </c>
      <c r="B79" s="97">
        <v>0</v>
      </c>
      <c r="C79" s="343" t="s">
        <v>1050</v>
      </c>
      <c r="D79" s="102" t="s">
        <v>711</v>
      </c>
      <c r="E79" s="99">
        <f>0.02*0.3*E76</f>
        <v>1.722</v>
      </c>
      <c r="F79" s="21"/>
      <c r="G79" s="22"/>
    </row>
    <row r="80" spans="1:7">
      <c r="A80" s="332">
        <v>18</v>
      </c>
      <c r="B80" s="97" t="s">
        <v>901</v>
      </c>
      <c r="C80" s="105" t="s">
        <v>1227</v>
      </c>
      <c r="D80" s="102" t="s">
        <v>850</v>
      </c>
      <c r="E80" s="99">
        <v>287</v>
      </c>
      <c r="F80" s="21"/>
      <c r="G80" s="22"/>
    </row>
    <row r="81" spans="1:7">
      <c r="A81" s="332">
        <v>0</v>
      </c>
      <c r="B81" s="97">
        <v>0</v>
      </c>
      <c r="C81" s="343" t="s">
        <v>1057</v>
      </c>
      <c r="D81" s="102" t="s">
        <v>541</v>
      </c>
      <c r="E81" s="99">
        <f>0.15*E80*0.25*1.1</f>
        <v>11.838750000000001</v>
      </c>
      <c r="F81" s="21"/>
      <c r="G81" s="22"/>
    </row>
    <row r="82" spans="1:7">
      <c r="A82" s="332">
        <v>19</v>
      </c>
      <c r="B82" s="97" t="s">
        <v>901</v>
      </c>
      <c r="C82" s="105" t="s">
        <v>1058</v>
      </c>
      <c r="D82" s="102" t="s">
        <v>850</v>
      </c>
      <c r="E82" s="99">
        <v>287</v>
      </c>
      <c r="F82" s="21"/>
      <c r="G82" s="22"/>
    </row>
    <row r="83" spans="1:7">
      <c r="A83" s="332">
        <v>0</v>
      </c>
      <c r="B83" s="97">
        <v>0</v>
      </c>
      <c r="C83" s="343" t="s">
        <v>1059</v>
      </c>
      <c r="D83" s="102" t="s">
        <v>541</v>
      </c>
      <c r="E83" s="99">
        <f>0.3*E82*0.25*1.1</f>
        <v>23.677500000000002</v>
      </c>
      <c r="F83" s="21"/>
      <c r="G83" s="22"/>
    </row>
    <row r="84" spans="1:7">
      <c r="A84" s="332">
        <v>20</v>
      </c>
      <c r="B84" s="97" t="s">
        <v>901</v>
      </c>
      <c r="C84" s="105" t="s">
        <v>1228</v>
      </c>
      <c r="D84" s="102" t="s">
        <v>711</v>
      </c>
      <c r="E84" s="99">
        <v>2837</v>
      </c>
      <c r="F84" s="21"/>
      <c r="G84" s="22"/>
    </row>
    <row r="85" spans="1:7">
      <c r="A85" s="332">
        <v>0</v>
      </c>
      <c r="B85" s="97">
        <v>0</v>
      </c>
      <c r="C85" s="343" t="s">
        <v>1060</v>
      </c>
      <c r="D85" s="102" t="s">
        <v>541</v>
      </c>
      <c r="E85" s="99">
        <f>0.15*E84</f>
        <v>425.55</v>
      </c>
      <c r="F85" s="21"/>
      <c r="G85" s="22"/>
    </row>
    <row r="86" spans="1:7" ht="25.5">
      <c r="A86" s="332">
        <v>21</v>
      </c>
      <c r="B86" s="97" t="s">
        <v>901</v>
      </c>
      <c r="C86" s="105" t="s">
        <v>1061</v>
      </c>
      <c r="D86" s="102" t="s">
        <v>711</v>
      </c>
      <c r="E86" s="99">
        <v>2837</v>
      </c>
      <c r="F86" s="21"/>
      <c r="G86" s="22"/>
    </row>
    <row r="87" spans="1:7">
      <c r="A87" s="332">
        <v>0</v>
      </c>
      <c r="B87" s="97">
        <v>0</v>
      </c>
      <c r="C87" s="343" t="s">
        <v>1062</v>
      </c>
      <c r="D87" s="102" t="s">
        <v>541</v>
      </c>
      <c r="E87" s="99">
        <f>0.3*E86</f>
        <v>851.1</v>
      </c>
      <c r="F87" s="21"/>
      <c r="G87" s="22"/>
    </row>
    <row r="88" spans="1:7">
      <c r="A88" s="332">
        <v>22</v>
      </c>
      <c r="B88" s="97" t="s">
        <v>901</v>
      </c>
      <c r="C88" s="105" t="s">
        <v>1218</v>
      </c>
      <c r="D88" s="102" t="s">
        <v>711</v>
      </c>
      <c r="E88" s="99">
        <v>319</v>
      </c>
      <c r="F88" s="21"/>
      <c r="G88" s="22"/>
    </row>
    <row r="89" spans="1:7">
      <c r="A89" s="332">
        <v>0</v>
      </c>
      <c r="B89" s="97">
        <v>0</v>
      </c>
      <c r="C89" s="343" t="s">
        <v>1063</v>
      </c>
      <c r="D89" s="102" t="s">
        <v>107</v>
      </c>
      <c r="E89" s="99">
        <f>2*E88</f>
        <v>638</v>
      </c>
      <c r="F89" s="21"/>
      <c r="G89" s="22"/>
    </row>
    <row r="90" spans="1:7">
      <c r="A90" s="332">
        <v>23</v>
      </c>
      <c r="B90" s="97" t="s">
        <v>901</v>
      </c>
      <c r="C90" s="105" t="s">
        <v>1229</v>
      </c>
      <c r="D90" s="102" t="s">
        <v>711</v>
      </c>
      <c r="E90" s="99">
        <v>319</v>
      </c>
      <c r="F90" s="21"/>
      <c r="G90" s="22"/>
    </row>
    <row r="91" spans="1:7">
      <c r="A91" s="332">
        <v>0</v>
      </c>
      <c r="B91" s="97">
        <v>0</v>
      </c>
      <c r="C91" s="343" t="s">
        <v>1064</v>
      </c>
      <c r="D91" s="102" t="s">
        <v>711</v>
      </c>
      <c r="E91" s="99">
        <f>1.08*E90</f>
        <v>344.52000000000004</v>
      </c>
      <c r="F91" s="21"/>
      <c r="G91" s="22"/>
    </row>
    <row r="92" spans="1:7">
      <c r="A92" s="332">
        <v>0</v>
      </c>
      <c r="B92" s="97">
        <v>0</v>
      </c>
      <c r="C92" s="343" t="s">
        <v>1065</v>
      </c>
      <c r="D92" s="102" t="s">
        <v>107</v>
      </c>
      <c r="E92" s="99">
        <f>4*E90</f>
        <v>1276</v>
      </c>
      <c r="F92" s="21"/>
      <c r="G92" s="22"/>
    </row>
    <row r="93" spans="1:7">
      <c r="A93" s="332">
        <v>0</v>
      </c>
      <c r="B93" s="97">
        <v>0</v>
      </c>
      <c r="C93" s="343" t="s">
        <v>944</v>
      </c>
      <c r="D93" s="102" t="s">
        <v>107</v>
      </c>
      <c r="E93" s="99">
        <f>0.4*E90</f>
        <v>127.60000000000001</v>
      </c>
      <c r="F93" s="21"/>
      <c r="G93" s="22"/>
    </row>
    <row r="94" spans="1:7" s="17" customFormat="1">
      <c r="A94" s="28"/>
      <c r="B94" s="29"/>
      <c r="C94" s="30"/>
      <c r="D94" s="31"/>
      <c r="E94" s="12"/>
      <c r="F94" s="12"/>
      <c r="G94" s="32"/>
    </row>
    <row r="95" spans="1:7" ht="15">
      <c r="A95" s="13"/>
      <c r="B95" s="13"/>
      <c r="C95" s="18"/>
      <c r="D95" s="19"/>
      <c r="E95" s="18"/>
      <c r="F95" s="18" t="s">
        <v>6</v>
      </c>
      <c r="G95" s="20"/>
    </row>
    <row r="97" spans="1:7" s="25" customFormat="1" ht="12.75" customHeight="1">
      <c r="B97" s="26" t="str">
        <f>'1,1'!B32</f>
        <v>Piezīmes:</v>
      </c>
    </row>
    <row r="98" spans="1:7" s="25" customFormat="1" ht="45" customHeight="1">
      <c r="A98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98" s="546"/>
      <c r="C98" s="546"/>
      <c r="D98" s="546"/>
      <c r="E98" s="546"/>
      <c r="F98" s="546"/>
      <c r="G98" s="546"/>
    </row>
    <row r="99" spans="1:7" s="25" customFormat="1" ht="12.75" customHeight="1">
      <c r="A99" s="546">
        <f>'1,1'!$A$34</f>
        <v>0</v>
      </c>
      <c r="B99" s="546"/>
      <c r="C99" s="546"/>
      <c r="D99" s="546"/>
      <c r="E99" s="546"/>
      <c r="F99" s="546"/>
      <c r="G99" s="546"/>
    </row>
    <row r="100" spans="1:7" s="25" customFormat="1" ht="12.75" customHeight="1">
      <c r="B100" s="27"/>
    </row>
    <row r="101" spans="1:7">
      <c r="B101" s="5" t="str">
        <f>'1,1'!B36</f>
        <v>Sastādīja:</v>
      </c>
    </row>
    <row r="102" spans="1:7" ht="14.25" customHeight="1">
      <c r="C102" s="33" t="str">
        <f>'1,1'!C37</f>
        <v>Arnis Gailītis</v>
      </c>
    </row>
    <row r="103" spans="1:7">
      <c r="C103" s="34" t="str">
        <f>'1,1'!C38</f>
        <v>Sertifikāta Nr.20-5643</v>
      </c>
      <c r="D103" s="35"/>
    </row>
    <row r="106" spans="1:7">
      <c r="B106" s="40" t="str">
        <f>'1,1'!B41</f>
        <v>Pārbaudīja:</v>
      </c>
      <c r="C106" s="3"/>
    </row>
    <row r="107" spans="1:7">
      <c r="B107" s="2"/>
      <c r="C107" s="33" t="str">
        <f>'1,1'!C42</f>
        <v>Aivars Mauriņš</v>
      </c>
    </row>
    <row r="108" spans="1:7">
      <c r="B108" s="1"/>
      <c r="C108" s="34" t="str">
        <f>'1,1'!C43</f>
        <v>Sertifikāta Nr.20-5957</v>
      </c>
    </row>
  </sheetData>
  <mergeCells count="15">
    <mergeCell ref="A99:G99"/>
    <mergeCell ref="A98:G98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59"/>
  <sheetViews>
    <sheetView showZeros="0" view="pageBreakPreview" topLeftCell="A7" zoomScale="80" zoomScaleNormal="100" zoomScaleSheetLayoutView="80" workbookViewId="0">
      <selection activeCell="I34" sqref="I34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1.1200000000000001</v>
      </c>
      <c r="E1" s="36"/>
      <c r="F1" s="36"/>
      <c r="G1" s="36"/>
    </row>
    <row r="2" spans="1:7" s="9" customFormat="1" ht="15">
      <c r="A2" s="549" t="str">
        <f>C13</f>
        <v>Fasāde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/>
      <c r="C13" s="93" t="str">
        <f>[2]kops1!C32</f>
        <v>Fasāde</v>
      </c>
      <c r="D13" s="94"/>
      <c r="E13" s="95"/>
      <c r="F13" s="23"/>
      <c r="G13" s="24"/>
    </row>
    <row r="14" spans="1:7">
      <c r="A14" s="96">
        <v>1</v>
      </c>
      <c r="B14" s="97" t="s">
        <v>1066</v>
      </c>
      <c r="C14" s="98" t="s">
        <v>1067</v>
      </c>
      <c r="D14" s="95" t="s">
        <v>711</v>
      </c>
      <c r="E14" s="99">
        <v>100.5</v>
      </c>
      <c r="F14" s="21"/>
      <c r="G14" s="22"/>
    </row>
    <row r="15" spans="1:7" ht="25.5">
      <c r="A15" s="100">
        <v>0</v>
      </c>
      <c r="B15" s="97">
        <v>0</v>
      </c>
      <c r="C15" s="101" t="s">
        <v>1068</v>
      </c>
      <c r="D15" s="95" t="s">
        <v>711</v>
      </c>
      <c r="E15" s="99">
        <f>1.2*E14</f>
        <v>120.6</v>
      </c>
      <c r="F15" s="21"/>
      <c r="G15" s="22"/>
    </row>
    <row r="16" spans="1:7" ht="25.5">
      <c r="A16" s="96">
        <v>2</v>
      </c>
      <c r="B16" s="97" t="s">
        <v>1066</v>
      </c>
      <c r="C16" s="98" t="s">
        <v>1069</v>
      </c>
      <c r="D16" s="95" t="s">
        <v>711</v>
      </c>
      <c r="E16" s="99">
        <v>1240</v>
      </c>
      <c r="F16" s="21"/>
      <c r="G16" s="22"/>
    </row>
    <row r="17" spans="1:7" ht="25.5">
      <c r="A17" s="100">
        <v>3</v>
      </c>
      <c r="B17" s="97" t="s">
        <v>1066</v>
      </c>
      <c r="C17" s="98" t="s">
        <v>1070</v>
      </c>
      <c r="D17" s="95" t="s">
        <v>711</v>
      </c>
      <c r="E17" s="99">
        <v>5</v>
      </c>
      <c r="F17" s="21"/>
      <c r="G17" s="22"/>
    </row>
    <row r="18" spans="1:7">
      <c r="A18" s="96">
        <v>0</v>
      </c>
      <c r="B18" s="97">
        <v>0</v>
      </c>
      <c r="C18" s="101" t="s">
        <v>1071</v>
      </c>
      <c r="D18" s="102" t="s">
        <v>107</v>
      </c>
      <c r="E18" s="99">
        <f>2.4*E17</f>
        <v>12</v>
      </c>
      <c r="F18" s="21"/>
      <c r="G18" s="22"/>
    </row>
    <row r="19" spans="1:7">
      <c r="A19" s="96">
        <v>4</v>
      </c>
      <c r="B19" s="97" t="s">
        <v>1066</v>
      </c>
      <c r="C19" s="98" t="s">
        <v>1072</v>
      </c>
      <c r="D19" s="95" t="s">
        <v>711</v>
      </c>
      <c r="E19" s="99">
        <v>5</v>
      </c>
      <c r="F19" s="21"/>
      <c r="G19" s="22"/>
    </row>
    <row r="20" spans="1:7">
      <c r="A20" s="100">
        <v>0</v>
      </c>
      <c r="B20" s="97">
        <v>0</v>
      </c>
      <c r="C20" s="101" t="s">
        <v>1073</v>
      </c>
      <c r="D20" s="95" t="s">
        <v>541</v>
      </c>
      <c r="E20" s="99">
        <f>0.15*E19</f>
        <v>0.75</v>
      </c>
      <c r="F20" s="21"/>
      <c r="G20" s="22"/>
    </row>
    <row r="21" spans="1:7">
      <c r="A21" s="96">
        <v>5</v>
      </c>
      <c r="B21" s="97" t="s">
        <v>1066</v>
      </c>
      <c r="C21" s="98" t="s">
        <v>1074</v>
      </c>
      <c r="D21" s="95" t="s">
        <v>711</v>
      </c>
      <c r="E21" s="99">
        <v>5</v>
      </c>
      <c r="F21" s="21"/>
      <c r="G21" s="22"/>
    </row>
    <row r="22" spans="1:7">
      <c r="A22" s="100">
        <v>0</v>
      </c>
      <c r="B22" s="97">
        <v>0</v>
      </c>
      <c r="C22" s="101" t="s">
        <v>1136</v>
      </c>
      <c r="D22" s="95" t="s">
        <v>541</v>
      </c>
      <c r="E22" s="99">
        <f>0.3*E21</f>
        <v>1.5</v>
      </c>
      <c r="F22" s="21"/>
      <c r="G22" s="22"/>
    </row>
    <row r="23" spans="1:7" ht="25.5">
      <c r="A23" s="103">
        <v>6</v>
      </c>
      <c r="B23" s="104" t="s">
        <v>1075</v>
      </c>
      <c r="C23" s="105" t="s">
        <v>1076</v>
      </c>
      <c r="D23" s="102" t="s">
        <v>711</v>
      </c>
      <c r="E23" s="106">
        <v>60</v>
      </c>
      <c r="F23" s="21"/>
      <c r="G23" s="22"/>
    </row>
    <row r="24" spans="1:7" ht="25.5">
      <c r="A24" s="103">
        <v>7</v>
      </c>
      <c r="B24" s="104" t="s">
        <v>1075</v>
      </c>
      <c r="C24" s="105" t="s">
        <v>1077</v>
      </c>
      <c r="D24" s="102" t="s">
        <v>711</v>
      </c>
      <c r="E24" s="99">
        <v>60</v>
      </c>
      <c r="F24" s="21"/>
      <c r="G24" s="22"/>
    </row>
    <row r="25" spans="1:7">
      <c r="A25" s="103">
        <v>0</v>
      </c>
      <c r="B25" s="97">
        <v>0</v>
      </c>
      <c r="C25" s="101" t="s">
        <v>1078</v>
      </c>
      <c r="D25" s="95" t="s">
        <v>711</v>
      </c>
      <c r="E25" s="99">
        <f>E24</f>
        <v>60</v>
      </c>
      <c r="F25" s="21"/>
      <c r="G25" s="22"/>
    </row>
    <row r="26" spans="1:7">
      <c r="A26" s="103">
        <v>8</v>
      </c>
      <c r="B26" s="104" t="s">
        <v>1075</v>
      </c>
      <c r="C26" s="105" t="s">
        <v>1079</v>
      </c>
      <c r="D26" s="102" t="s">
        <v>711</v>
      </c>
      <c r="E26" s="106">
        <v>1080</v>
      </c>
      <c r="F26" s="21"/>
      <c r="G26" s="22"/>
    </row>
    <row r="27" spans="1:7">
      <c r="A27" s="103">
        <v>9</v>
      </c>
      <c r="B27" s="104" t="s">
        <v>1075</v>
      </c>
      <c r="C27" s="105" t="s">
        <v>1080</v>
      </c>
      <c r="D27" s="102" t="s">
        <v>711</v>
      </c>
      <c r="E27" s="99">
        <v>1080</v>
      </c>
      <c r="F27" s="21"/>
      <c r="G27" s="22"/>
    </row>
    <row r="28" spans="1:7" ht="25.5">
      <c r="A28" s="103">
        <v>0</v>
      </c>
      <c r="B28" s="97">
        <v>0</v>
      </c>
      <c r="C28" s="101" t="s">
        <v>1081</v>
      </c>
      <c r="D28" s="95" t="s">
        <v>711</v>
      </c>
      <c r="E28" s="99">
        <f>E27</f>
        <v>1080</v>
      </c>
      <c r="F28" s="21"/>
      <c r="G28" s="22"/>
    </row>
    <row r="29" spans="1:7">
      <c r="A29" s="96">
        <v>10</v>
      </c>
      <c r="B29" s="97" t="s">
        <v>937</v>
      </c>
      <c r="C29" s="98" t="s">
        <v>1082</v>
      </c>
      <c r="D29" s="95" t="s">
        <v>711</v>
      </c>
      <c r="E29" s="99">
        <v>160</v>
      </c>
      <c r="F29" s="21"/>
      <c r="G29" s="22"/>
    </row>
    <row r="30" spans="1:7" ht="38.25">
      <c r="A30" s="100">
        <v>0</v>
      </c>
      <c r="B30" s="97">
        <v>0</v>
      </c>
      <c r="C30" s="101" t="s">
        <v>1083</v>
      </c>
      <c r="D30" s="95" t="s">
        <v>711</v>
      </c>
      <c r="E30" s="99">
        <f>1.05*E29</f>
        <v>168</v>
      </c>
      <c r="F30" s="21"/>
      <c r="G30" s="22"/>
    </row>
    <row r="31" spans="1:7">
      <c r="A31" s="96">
        <v>0</v>
      </c>
      <c r="B31" s="104">
        <v>0</v>
      </c>
      <c r="C31" s="107" t="s">
        <v>1084</v>
      </c>
      <c r="D31" s="95"/>
      <c r="E31" s="99"/>
      <c r="F31" s="21"/>
      <c r="G31" s="22"/>
    </row>
    <row r="32" spans="1:7">
      <c r="A32" s="100">
        <v>11</v>
      </c>
      <c r="B32" s="104" t="s">
        <v>1085</v>
      </c>
      <c r="C32" s="98" t="s">
        <v>1086</v>
      </c>
      <c r="D32" s="102" t="s">
        <v>711</v>
      </c>
      <c r="E32" s="99">
        <v>60</v>
      </c>
      <c r="F32" s="21"/>
      <c r="G32" s="22"/>
    </row>
    <row r="33" spans="1:7">
      <c r="A33" s="96">
        <v>0</v>
      </c>
      <c r="B33" s="104">
        <v>0</v>
      </c>
      <c r="C33" s="101" t="s">
        <v>1087</v>
      </c>
      <c r="D33" s="102" t="s">
        <v>541</v>
      </c>
      <c r="E33" s="99">
        <f>0.25*E32</f>
        <v>15</v>
      </c>
      <c r="F33" s="21"/>
      <c r="G33" s="22"/>
    </row>
    <row r="34" spans="1:7">
      <c r="A34" s="100">
        <v>12</v>
      </c>
      <c r="B34" s="104" t="s">
        <v>1085</v>
      </c>
      <c r="C34" s="98" t="s">
        <v>1088</v>
      </c>
      <c r="D34" s="95" t="s">
        <v>711</v>
      </c>
      <c r="E34" s="99">
        <v>60</v>
      </c>
      <c r="F34" s="21"/>
      <c r="G34" s="22"/>
    </row>
    <row r="35" spans="1:7" ht="25.5">
      <c r="A35" s="96">
        <v>0</v>
      </c>
      <c r="B35" s="104">
        <v>0</v>
      </c>
      <c r="C35" s="101" t="s">
        <v>1089</v>
      </c>
      <c r="D35" s="95" t="s">
        <v>107</v>
      </c>
      <c r="E35" s="99">
        <f>5*E34</f>
        <v>300</v>
      </c>
      <c r="F35" s="21"/>
      <c r="G35" s="22"/>
    </row>
    <row r="36" spans="1:7">
      <c r="A36" s="100">
        <v>0</v>
      </c>
      <c r="B36" s="104">
        <v>0</v>
      </c>
      <c r="C36" s="101" t="s">
        <v>1090</v>
      </c>
      <c r="D36" s="95" t="s">
        <v>711</v>
      </c>
      <c r="E36" s="99">
        <f>1.1*E34</f>
        <v>66</v>
      </c>
      <c r="F36" s="21"/>
      <c r="G36" s="22"/>
    </row>
    <row r="37" spans="1:7">
      <c r="A37" s="100">
        <v>13</v>
      </c>
      <c r="B37" s="104" t="s">
        <v>1085</v>
      </c>
      <c r="C37" s="98" t="s">
        <v>1091</v>
      </c>
      <c r="D37" s="95" t="s">
        <v>711</v>
      </c>
      <c r="E37" s="99">
        <v>60</v>
      </c>
      <c r="F37" s="21"/>
      <c r="G37" s="22"/>
    </row>
    <row r="38" spans="1:7" ht="25.5">
      <c r="A38" s="96">
        <v>0</v>
      </c>
      <c r="B38" s="104">
        <v>0</v>
      </c>
      <c r="C38" s="101" t="s">
        <v>1092</v>
      </c>
      <c r="D38" s="102" t="s">
        <v>541</v>
      </c>
      <c r="E38" s="99">
        <f>0.25*E37</f>
        <v>15</v>
      </c>
      <c r="F38" s="21"/>
      <c r="G38" s="22"/>
    </row>
    <row r="39" spans="1:7">
      <c r="A39" s="100">
        <v>14</v>
      </c>
      <c r="B39" s="104" t="s">
        <v>1085</v>
      </c>
      <c r="C39" s="98" t="s">
        <v>1137</v>
      </c>
      <c r="D39" s="95" t="s">
        <v>711</v>
      </c>
      <c r="E39" s="99">
        <v>60</v>
      </c>
      <c r="F39" s="21"/>
      <c r="G39" s="22"/>
    </row>
    <row r="40" spans="1:7" ht="25.5">
      <c r="A40" s="96">
        <v>0</v>
      </c>
      <c r="B40" s="104">
        <v>0</v>
      </c>
      <c r="C40" s="101" t="s">
        <v>1093</v>
      </c>
      <c r="D40" s="102" t="s">
        <v>107</v>
      </c>
      <c r="E40" s="99">
        <f>3.5*E39</f>
        <v>210</v>
      </c>
      <c r="F40" s="21"/>
      <c r="G40" s="22"/>
    </row>
    <row r="41" spans="1:7">
      <c r="A41" s="100">
        <v>15</v>
      </c>
      <c r="B41" s="104" t="s">
        <v>1085</v>
      </c>
      <c r="C41" s="98" t="s">
        <v>1094</v>
      </c>
      <c r="D41" s="95" t="s">
        <v>711</v>
      </c>
      <c r="E41" s="99">
        <v>60</v>
      </c>
      <c r="F41" s="21"/>
      <c r="G41" s="22"/>
    </row>
    <row r="42" spans="1:7">
      <c r="A42" s="96">
        <v>0</v>
      </c>
      <c r="B42" s="104">
        <v>0</v>
      </c>
      <c r="C42" s="101" t="s">
        <v>1095</v>
      </c>
      <c r="D42" s="95" t="s">
        <v>541</v>
      </c>
      <c r="E42" s="99">
        <f>0.06*E41</f>
        <v>3.5999999999999996</v>
      </c>
      <c r="F42" s="21"/>
      <c r="G42" s="22"/>
    </row>
    <row r="43" spans="1:7">
      <c r="A43" s="100">
        <v>16</v>
      </c>
      <c r="B43" s="104" t="s">
        <v>1085</v>
      </c>
      <c r="C43" s="98" t="s">
        <v>1074</v>
      </c>
      <c r="D43" s="95" t="s">
        <v>711</v>
      </c>
      <c r="E43" s="99">
        <v>60</v>
      </c>
      <c r="F43" s="21"/>
      <c r="G43" s="22"/>
    </row>
    <row r="44" spans="1:7">
      <c r="A44" s="96">
        <v>0</v>
      </c>
      <c r="B44" s="104">
        <v>0</v>
      </c>
      <c r="C44" s="101" t="s">
        <v>1096</v>
      </c>
      <c r="D44" s="95" t="s">
        <v>541</v>
      </c>
      <c r="E44" s="99">
        <f>0.35*E43</f>
        <v>21</v>
      </c>
      <c r="F44" s="21"/>
      <c r="G44" s="22"/>
    </row>
    <row r="45" spans="1:7" s="17" customFormat="1">
      <c r="A45" s="28"/>
      <c r="B45" s="29"/>
      <c r="C45" s="30"/>
      <c r="D45" s="31"/>
      <c r="E45" s="12"/>
      <c r="F45" s="12"/>
      <c r="G45" s="32"/>
    </row>
    <row r="46" spans="1:7" ht="15">
      <c r="A46" s="13"/>
      <c r="B46" s="13"/>
      <c r="C46" s="18"/>
      <c r="D46" s="19"/>
      <c r="E46" s="18"/>
      <c r="F46" s="18" t="s">
        <v>6</v>
      </c>
      <c r="G46" s="20"/>
    </row>
    <row r="48" spans="1:7" s="25" customFormat="1" ht="12.75" customHeight="1">
      <c r="B48" s="26" t="str">
        <f>'1,1'!B32</f>
        <v>Piezīmes:</v>
      </c>
    </row>
    <row r="49" spans="1:7" s="25" customFormat="1" ht="45" customHeight="1">
      <c r="A49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9" s="546"/>
      <c r="C49" s="546"/>
      <c r="D49" s="546"/>
      <c r="E49" s="546"/>
      <c r="F49" s="546"/>
      <c r="G49" s="546"/>
    </row>
    <row r="50" spans="1:7" s="25" customFormat="1" ht="12.75" customHeight="1">
      <c r="A50" s="546">
        <f>'1,1'!$A$34</f>
        <v>0</v>
      </c>
      <c r="B50" s="546"/>
      <c r="C50" s="546"/>
      <c r="D50" s="546"/>
      <c r="E50" s="546"/>
      <c r="F50" s="546"/>
      <c r="G50" s="546"/>
    </row>
    <row r="51" spans="1:7" s="25" customFormat="1" ht="12.75" customHeight="1">
      <c r="B51" s="27"/>
    </row>
    <row r="52" spans="1:7">
      <c r="B52" s="5" t="str">
        <f>'1,1'!B36</f>
        <v>Sastādīja:</v>
      </c>
    </row>
    <row r="53" spans="1:7" ht="14.25" customHeight="1">
      <c r="C53" s="33" t="str">
        <f>'1,1'!C37</f>
        <v>Arnis Gailītis</v>
      </c>
    </row>
    <row r="54" spans="1:7">
      <c r="C54" s="34" t="str">
        <f>'1,1'!C38</f>
        <v>Sertifikāta Nr.20-5643</v>
      </c>
      <c r="D54" s="35"/>
    </row>
    <row r="57" spans="1:7">
      <c r="B57" s="40" t="str">
        <f>'1,1'!B41</f>
        <v>Pārbaudīja:</v>
      </c>
      <c r="C57" s="3"/>
    </row>
    <row r="58" spans="1:7">
      <c r="B58" s="2"/>
      <c r="C58" s="33" t="str">
        <f>'1,1'!C42</f>
        <v>Aivars Mauriņš</v>
      </c>
    </row>
    <row r="59" spans="1:7">
      <c r="B59" s="1"/>
      <c r="C59" s="34" t="str">
        <f>'1,1'!C43</f>
        <v>Sertifikāta Nr.20-5957</v>
      </c>
    </row>
  </sheetData>
  <mergeCells count="15">
    <mergeCell ref="A50:G50"/>
    <mergeCell ref="A49:G4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30"/>
  <sheetViews>
    <sheetView showZeros="0" view="pageBreakPreview" topLeftCell="A3" zoomScale="80" zoomScaleNormal="100" zoomScaleSheetLayoutView="80" workbookViewId="0">
      <selection activeCell="A15" sqref="A1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1.1299999999999999</v>
      </c>
      <c r="E1" s="36"/>
      <c r="F1" s="36"/>
      <c r="G1" s="36"/>
    </row>
    <row r="2" spans="1:7" s="9" customFormat="1" ht="15">
      <c r="A2" s="549" t="str">
        <f>C13</f>
        <v>Dažādi darbi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/>
      <c r="C13" s="93" t="str">
        <f>[2]kops1!C33</f>
        <v>Dažādi darbi</v>
      </c>
      <c r="D13" s="94"/>
      <c r="E13" s="95"/>
      <c r="F13" s="23"/>
      <c r="G13" s="24"/>
    </row>
    <row r="14" spans="1:7" ht="25.5">
      <c r="A14" s="108">
        <v>1</v>
      </c>
      <c r="B14" s="109" t="s">
        <v>673</v>
      </c>
      <c r="C14" s="110" t="s">
        <v>1097</v>
      </c>
      <c r="D14" s="111" t="s">
        <v>711</v>
      </c>
      <c r="E14" s="112">
        <v>4</v>
      </c>
      <c r="F14" s="21"/>
      <c r="G14" s="22"/>
    </row>
    <row r="15" spans="1:7" ht="34.5" customHeight="1">
      <c r="A15" s="113">
        <v>2</v>
      </c>
      <c r="B15" s="114" t="s">
        <v>673</v>
      </c>
      <c r="C15" s="115" t="s">
        <v>1106</v>
      </c>
      <c r="D15" s="116" t="s">
        <v>694</v>
      </c>
      <c r="E15" s="117">
        <v>1</v>
      </c>
      <c r="F15" s="21"/>
      <c r="G15" s="22"/>
    </row>
    <row r="16" spans="1:7" s="17" customFormat="1">
      <c r="A16" s="28"/>
      <c r="B16" s="29"/>
      <c r="C16" s="30"/>
      <c r="D16" s="31"/>
      <c r="E16" s="12"/>
      <c r="F16" s="12"/>
      <c r="G16" s="32"/>
    </row>
    <row r="17" spans="1:7" ht="15">
      <c r="A17" s="13"/>
      <c r="B17" s="13"/>
      <c r="C17" s="18"/>
      <c r="D17" s="19"/>
      <c r="E17" s="18"/>
      <c r="F17" s="18" t="s">
        <v>6</v>
      </c>
      <c r="G17" s="20"/>
    </row>
    <row r="19" spans="1:7" s="25" customFormat="1" ht="12.75" customHeight="1">
      <c r="B19" s="26" t="str">
        <f>'1,1'!B32</f>
        <v>Piezīmes:</v>
      </c>
    </row>
    <row r="20" spans="1:7" s="25" customFormat="1" ht="45" customHeight="1">
      <c r="A20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20" s="546"/>
      <c r="C20" s="546"/>
      <c r="D20" s="546"/>
      <c r="E20" s="546"/>
      <c r="F20" s="546"/>
      <c r="G20" s="546"/>
    </row>
    <row r="21" spans="1:7" s="25" customFormat="1" ht="12.75" customHeight="1">
      <c r="A21" s="546">
        <f>'1,1'!$A$34</f>
        <v>0</v>
      </c>
      <c r="B21" s="546"/>
      <c r="C21" s="546"/>
      <c r="D21" s="546"/>
      <c r="E21" s="546"/>
      <c r="F21" s="546"/>
      <c r="G21" s="546"/>
    </row>
    <row r="22" spans="1:7" s="25" customFormat="1" ht="12.75" customHeight="1">
      <c r="B22" s="27"/>
    </row>
    <row r="23" spans="1:7">
      <c r="B23" s="5" t="str">
        <f>'1,1'!B36</f>
        <v>Sastādīja:</v>
      </c>
    </row>
    <row r="24" spans="1:7" ht="14.25" customHeight="1">
      <c r="C24" s="33" t="str">
        <f>'1,1'!C37</f>
        <v>Arnis Gailītis</v>
      </c>
    </row>
    <row r="25" spans="1:7">
      <c r="C25" s="34" t="str">
        <f>'1,1'!C38</f>
        <v>Sertifikāta Nr.20-5643</v>
      </c>
      <c r="D25" s="35"/>
    </row>
    <row r="28" spans="1:7">
      <c r="B28" s="40" t="str">
        <f>'1,1'!B41</f>
        <v>Pārbaudīja:</v>
      </c>
      <c r="C28" s="3"/>
    </row>
    <row r="29" spans="1:7">
      <c r="B29" s="2"/>
      <c r="C29" s="33" t="str">
        <f>'1,1'!C42</f>
        <v>Aivars Mauriņš</v>
      </c>
    </row>
    <row r="30" spans="1:7">
      <c r="B30" s="1"/>
      <c r="C30" s="34" t="str">
        <f>'1,1'!C43</f>
        <v>Sertifikāta Nr.20-5957</v>
      </c>
    </row>
  </sheetData>
  <mergeCells count="15">
    <mergeCell ref="A21:G21"/>
    <mergeCell ref="A20:G2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0"/>
  <sheetViews>
    <sheetView showZeros="0" view="pageBreakPreview" topLeftCell="A55" zoomScale="80" zoomScaleNormal="100" zoomScaleSheetLayoutView="80" workbookViewId="0">
      <selection activeCell="H77" sqref="H77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13.85546875" style="5" customWidth="1"/>
    <col min="5" max="5" width="8.140625" style="5" customWidth="1"/>
    <col min="6" max="7" width="9.140625" style="5"/>
    <col min="8" max="8" width="20.7109375" style="5" customWidth="1"/>
    <col min="9" max="16384" width="9.140625" style="5"/>
  </cols>
  <sheetData>
    <row r="1" spans="1:8" s="9" customFormat="1" ht="15">
      <c r="A1" s="548" t="s">
        <v>17</v>
      </c>
      <c r="B1" s="548"/>
      <c r="C1" s="548"/>
      <c r="D1" s="367"/>
      <c r="E1" s="36">
        <v>2.1</v>
      </c>
      <c r="F1" s="36"/>
      <c r="G1" s="36"/>
      <c r="H1" s="36"/>
    </row>
    <row r="2" spans="1:8" s="9" customFormat="1" ht="15">
      <c r="A2" s="549" t="str">
        <f>C13</f>
        <v>Iekšējais ūdensvads</v>
      </c>
      <c r="B2" s="549"/>
      <c r="C2" s="549"/>
      <c r="D2" s="549"/>
      <c r="E2" s="549"/>
      <c r="F2" s="549"/>
      <c r="G2" s="549"/>
      <c r="H2" s="549"/>
    </row>
    <row r="3" spans="1:8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  <c r="H3" s="557"/>
    </row>
    <row r="4" spans="1:8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  <c r="H4" s="557"/>
    </row>
    <row r="5" spans="1:8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  <c r="H5" s="562"/>
    </row>
    <row r="6" spans="1:8">
      <c r="A6" s="6"/>
      <c r="B6" s="6" t="s">
        <v>18</v>
      </c>
      <c r="C6" s="7" t="str">
        <f>'1,1'!C6</f>
        <v>n</v>
      </c>
      <c r="D6" s="7"/>
      <c r="E6" s="7"/>
      <c r="F6" s="14"/>
      <c r="G6" s="37"/>
      <c r="H6" s="37"/>
    </row>
    <row r="7" spans="1:8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  <c r="H7" s="547"/>
    </row>
    <row r="8" spans="1:8">
      <c r="A8" s="8"/>
      <c r="B8" s="8"/>
      <c r="E8" s="11"/>
      <c r="F8" s="14"/>
      <c r="G8" s="14"/>
      <c r="H8" s="10"/>
    </row>
    <row r="9" spans="1:8" ht="15" customHeight="1">
      <c r="A9" s="16"/>
      <c r="B9" s="16"/>
      <c r="C9" s="4" t="str">
        <f>'1,1'!C9</f>
        <v>Tāme sastādīta:  2014.gada 22. septembris</v>
      </c>
      <c r="D9" s="4"/>
      <c r="G9" s="15"/>
      <c r="H9" s="15"/>
    </row>
    <row r="10" spans="1:8" ht="15">
      <c r="A10" s="16"/>
      <c r="B10" s="16"/>
    </row>
    <row r="11" spans="1:8" ht="14.25" customHeight="1">
      <c r="A11" s="552" t="s">
        <v>5</v>
      </c>
      <c r="B11" s="553" t="s">
        <v>7</v>
      </c>
      <c r="C11" s="558" t="s">
        <v>8</v>
      </c>
      <c r="D11" s="559"/>
      <c r="E11" s="556" t="s">
        <v>9</v>
      </c>
      <c r="F11" s="552" t="s">
        <v>10</v>
      </c>
      <c r="G11" s="550" t="s">
        <v>23</v>
      </c>
      <c r="H11" s="550" t="s">
        <v>24</v>
      </c>
    </row>
    <row r="12" spans="1:8" ht="59.25" customHeight="1">
      <c r="A12" s="552"/>
      <c r="B12" s="554"/>
      <c r="C12" s="560"/>
      <c r="D12" s="561"/>
      <c r="E12" s="556"/>
      <c r="F12" s="552"/>
      <c r="G12" s="551"/>
      <c r="H12" s="551"/>
    </row>
    <row r="13" spans="1:8" ht="15.75">
      <c r="A13" s="370"/>
      <c r="B13" s="371"/>
      <c r="C13" s="372" t="str">
        <f>[2]kops2!C21</f>
        <v>Iekšējais ūdensvads</v>
      </c>
      <c r="D13" s="372"/>
      <c r="E13" s="373"/>
      <c r="F13" s="374"/>
      <c r="G13" s="375"/>
      <c r="H13" s="376"/>
    </row>
    <row r="14" spans="1:8" ht="25.5">
      <c r="A14" s="377"/>
      <c r="B14" s="378" t="s">
        <v>264</v>
      </c>
      <c r="C14" s="379" t="s">
        <v>1138</v>
      </c>
      <c r="D14" s="379"/>
      <c r="E14" s="379"/>
      <c r="F14" s="379"/>
      <c r="G14" s="380"/>
      <c r="H14" s="381"/>
    </row>
    <row r="15" spans="1:8">
      <c r="A15" s="382"/>
      <c r="B15" s="383"/>
      <c r="C15" s="383" t="s">
        <v>1250</v>
      </c>
      <c r="D15" s="383"/>
      <c r="E15" s="383"/>
      <c r="F15" s="384"/>
      <c r="G15" s="380"/>
      <c r="H15" s="381"/>
    </row>
    <row r="16" spans="1:8">
      <c r="A16" s="385">
        <v>1</v>
      </c>
      <c r="B16" s="378" t="s">
        <v>673</v>
      </c>
      <c r="C16" s="386" t="s">
        <v>1251</v>
      </c>
      <c r="D16" s="387" t="s">
        <v>1252</v>
      </c>
      <c r="E16" s="387" t="s">
        <v>33</v>
      </c>
      <c r="F16" s="388">
        <v>109</v>
      </c>
      <c r="G16" s="380"/>
      <c r="H16" s="381"/>
    </row>
    <row r="17" spans="1:8">
      <c r="A17" s="385">
        <f t="shared" ref="A17:A80" si="0">A16+1</f>
        <v>2</v>
      </c>
      <c r="B17" s="378" t="s">
        <v>673</v>
      </c>
      <c r="C17" s="386" t="s">
        <v>1253</v>
      </c>
      <c r="D17" s="387" t="s">
        <v>1252</v>
      </c>
      <c r="E17" s="387" t="s">
        <v>33</v>
      </c>
      <c r="F17" s="388">
        <v>40</v>
      </c>
      <c r="G17" s="380"/>
      <c r="H17" s="381"/>
    </row>
    <row r="18" spans="1:8">
      <c r="A18" s="385">
        <f t="shared" si="0"/>
        <v>3</v>
      </c>
      <c r="B18" s="378" t="s">
        <v>673</v>
      </c>
      <c r="C18" s="386" t="s">
        <v>1254</v>
      </c>
      <c r="D18" s="387" t="s">
        <v>1255</v>
      </c>
      <c r="E18" s="387" t="s">
        <v>33</v>
      </c>
      <c r="F18" s="388">
        <v>22</v>
      </c>
      <c r="G18" s="380"/>
      <c r="H18" s="381"/>
    </row>
    <row r="19" spans="1:8">
      <c r="A19" s="385">
        <f t="shared" si="0"/>
        <v>4</v>
      </c>
      <c r="B19" s="378" t="s">
        <v>673</v>
      </c>
      <c r="C19" s="386" t="s">
        <v>265</v>
      </c>
      <c r="D19" s="387" t="s">
        <v>1256</v>
      </c>
      <c r="E19" s="387" t="s">
        <v>33</v>
      </c>
      <c r="F19" s="388">
        <v>33</v>
      </c>
      <c r="G19" s="380"/>
      <c r="H19" s="381"/>
    </row>
    <row r="20" spans="1:8">
      <c r="A20" s="385">
        <f t="shared" si="0"/>
        <v>5</v>
      </c>
      <c r="B20" s="378" t="s">
        <v>673</v>
      </c>
      <c r="C20" s="389" t="s">
        <v>1257</v>
      </c>
      <c r="D20" s="390" t="s">
        <v>1258</v>
      </c>
      <c r="E20" s="391" t="s">
        <v>33</v>
      </c>
      <c r="F20" s="392">
        <v>2</v>
      </c>
      <c r="G20" s="380"/>
      <c r="H20" s="381"/>
    </row>
    <row r="21" spans="1:8">
      <c r="A21" s="385">
        <f t="shared" si="0"/>
        <v>6</v>
      </c>
      <c r="B21" s="378" t="s">
        <v>673</v>
      </c>
      <c r="C21" s="389" t="s">
        <v>1259</v>
      </c>
      <c r="D21" s="390" t="s">
        <v>1260</v>
      </c>
      <c r="E21" s="391" t="s">
        <v>33</v>
      </c>
      <c r="F21" s="392">
        <v>10</v>
      </c>
      <c r="G21" s="380"/>
      <c r="H21" s="381"/>
    </row>
    <row r="22" spans="1:8">
      <c r="A22" s="385">
        <f t="shared" si="0"/>
        <v>7</v>
      </c>
      <c r="B22" s="378" t="s">
        <v>673</v>
      </c>
      <c r="C22" s="389" t="s">
        <v>266</v>
      </c>
      <c r="D22" s="390"/>
      <c r="E22" s="391" t="s">
        <v>36</v>
      </c>
      <c r="F22" s="392">
        <v>1</v>
      </c>
      <c r="G22" s="380"/>
      <c r="H22" s="381"/>
    </row>
    <row r="23" spans="1:8">
      <c r="A23" s="385">
        <f t="shared" si="0"/>
        <v>8</v>
      </c>
      <c r="B23" s="378" t="s">
        <v>673</v>
      </c>
      <c r="C23" s="393" t="s">
        <v>696</v>
      </c>
      <c r="D23" s="394"/>
      <c r="E23" s="394" t="s">
        <v>36</v>
      </c>
      <c r="F23" s="395">
        <v>1</v>
      </c>
      <c r="G23" s="380"/>
      <c r="H23" s="381"/>
    </row>
    <row r="24" spans="1:8" ht="24">
      <c r="A24" s="385">
        <f t="shared" si="0"/>
        <v>9</v>
      </c>
      <c r="B24" s="378" t="s">
        <v>673</v>
      </c>
      <c r="C24" s="386" t="s">
        <v>267</v>
      </c>
      <c r="D24" s="387"/>
      <c r="E24" s="387" t="s">
        <v>33</v>
      </c>
      <c r="F24" s="388">
        <v>102</v>
      </c>
      <c r="G24" s="380"/>
      <c r="H24" s="381"/>
    </row>
    <row r="25" spans="1:8" ht="24">
      <c r="A25" s="385">
        <f t="shared" si="0"/>
        <v>10</v>
      </c>
      <c r="B25" s="378" t="s">
        <v>673</v>
      </c>
      <c r="C25" s="386" t="s">
        <v>268</v>
      </c>
      <c r="D25" s="396"/>
      <c r="E25" s="387" t="s">
        <v>33</v>
      </c>
      <c r="F25" s="396">
        <v>40</v>
      </c>
      <c r="G25" s="380"/>
      <c r="H25" s="381"/>
    </row>
    <row r="26" spans="1:8" ht="24">
      <c r="A26" s="385">
        <f t="shared" si="0"/>
        <v>11</v>
      </c>
      <c r="B26" s="378" t="s">
        <v>673</v>
      </c>
      <c r="C26" s="386" t="s">
        <v>269</v>
      </c>
      <c r="D26" s="396"/>
      <c r="E26" s="387" t="s">
        <v>33</v>
      </c>
      <c r="F26" s="396">
        <v>22</v>
      </c>
      <c r="G26" s="380"/>
      <c r="H26" s="381"/>
    </row>
    <row r="27" spans="1:8" ht="24">
      <c r="A27" s="385">
        <f t="shared" si="0"/>
        <v>12</v>
      </c>
      <c r="B27" s="378" t="s">
        <v>673</v>
      </c>
      <c r="C27" s="386" t="s">
        <v>270</v>
      </c>
      <c r="D27" s="396"/>
      <c r="E27" s="387" t="s">
        <v>33</v>
      </c>
      <c r="F27" s="396">
        <v>33</v>
      </c>
      <c r="G27" s="380"/>
      <c r="H27" s="381"/>
    </row>
    <row r="28" spans="1:8" ht="24">
      <c r="A28" s="385">
        <f t="shared" si="0"/>
        <v>13</v>
      </c>
      <c r="B28" s="378" t="s">
        <v>673</v>
      </c>
      <c r="C28" s="386" t="s">
        <v>271</v>
      </c>
      <c r="D28" s="396"/>
      <c r="E28" s="387" t="s">
        <v>33</v>
      </c>
      <c r="F28" s="396">
        <v>4</v>
      </c>
      <c r="G28" s="380"/>
      <c r="H28" s="381"/>
    </row>
    <row r="29" spans="1:8">
      <c r="A29" s="385">
        <f t="shared" si="0"/>
        <v>14</v>
      </c>
      <c r="B29" s="378" t="s">
        <v>673</v>
      </c>
      <c r="C29" s="393" t="s">
        <v>1261</v>
      </c>
      <c r="D29" s="394" t="s">
        <v>1252</v>
      </c>
      <c r="E29" s="394" t="s">
        <v>130</v>
      </c>
      <c r="F29" s="394">
        <v>32</v>
      </c>
      <c r="G29" s="380"/>
      <c r="H29" s="381"/>
    </row>
    <row r="30" spans="1:8">
      <c r="A30" s="385">
        <f t="shared" si="0"/>
        <v>15</v>
      </c>
      <c r="B30" s="378" t="s">
        <v>673</v>
      </c>
      <c r="C30" s="393" t="s">
        <v>1261</v>
      </c>
      <c r="D30" s="394" t="s">
        <v>1255</v>
      </c>
      <c r="E30" s="394" t="s">
        <v>130</v>
      </c>
      <c r="F30" s="394">
        <v>9</v>
      </c>
      <c r="G30" s="380"/>
      <c r="H30" s="381"/>
    </row>
    <row r="31" spans="1:8">
      <c r="A31" s="385">
        <f t="shared" si="0"/>
        <v>16</v>
      </c>
      <c r="B31" s="378" t="s">
        <v>673</v>
      </c>
      <c r="C31" s="393" t="s">
        <v>1261</v>
      </c>
      <c r="D31" s="394" t="s">
        <v>1256</v>
      </c>
      <c r="E31" s="394" t="s">
        <v>130</v>
      </c>
      <c r="F31" s="394">
        <v>10</v>
      </c>
      <c r="G31" s="380"/>
      <c r="H31" s="381"/>
    </row>
    <row r="32" spans="1:8">
      <c r="A32" s="385">
        <f t="shared" si="0"/>
        <v>17</v>
      </c>
      <c r="B32" s="378" t="s">
        <v>673</v>
      </c>
      <c r="C32" s="393" t="s">
        <v>1261</v>
      </c>
      <c r="D32" s="394" t="s">
        <v>1258</v>
      </c>
      <c r="E32" s="394" t="s">
        <v>130</v>
      </c>
      <c r="F32" s="394">
        <v>2</v>
      </c>
      <c r="G32" s="380"/>
      <c r="H32" s="381"/>
    </row>
    <row r="33" spans="1:8">
      <c r="A33" s="385">
        <f t="shared" si="0"/>
        <v>18</v>
      </c>
      <c r="B33" s="378" t="s">
        <v>673</v>
      </c>
      <c r="C33" s="393" t="s">
        <v>1261</v>
      </c>
      <c r="D33" s="394" t="s">
        <v>1260</v>
      </c>
      <c r="E33" s="394" t="s">
        <v>130</v>
      </c>
      <c r="F33" s="394">
        <v>3</v>
      </c>
      <c r="G33" s="380"/>
      <c r="H33" s="381"/>
    </row>
    <row r="34" spans="1:8">
      <c r="A34" s="385">
        <f t="shared" si="0"/>
        <v>19</v>
      </c>
      <c r="B34" s="378" t="s">
        <v>673</v>
      </c>
      <c r="C34" s="393" t="s">
        <v>1262</v>
      </c>
      <c r="D34" s="394" t="s">
        <v>1252</v>
      </c>
      <c r="E34" s="394" t="s">
        <v>130</v>
      </c>
      <c r="F34" s="394">
        <v>4</v>
      </c>
      <c r="G34" s="380"/>
      <c r="H34" s="381"/>
    </row>
    <row r="35" spans="1:8">
      <c r="A35" s="385">
        <f t="shared" si="0"/>
        <v>20</v>
      </c>
      <c r="B35" s="378" t="s">
        <v>673</v>
      </c>
      <c r="C35" s="397" t="s">
        <v>272</v>
      </c>
      <c r="D35" s="394"/>
      <c r="E35" s="394" t="s">
        <v>130</v>
      </c>
      <c r="F35" s="394">
        <v>2</v>
      </c>
      <c r="G35" s="380"/>
      <c r="H35" s="381"/>
    </row>
    <row r="36" spans="1:8" ht="24">
      <c r="A36" s="385">
        <f t="shared" si="0"/>
        <v>21</v>
      </c>
      <c r="B36" s="378" t="s">
        <v>673</v>
      </c>
      <c r="C36" s="397" t="s">
        <v>273</v>
      </c>
      <c r="D36" s="394"/>
      <c r="E36" s="394" t="s">
        <v>36</v>
      </c>
      <c r="F36" s="394">
        <v>1</v>
      </c>
      <c r="G36" s="380"/>
      <c r="H36" s="381"/>
    </row>
    <row r="37" spans="1:8">
      <c r="A37" s="385">
        <f t="shared" si="0"/>
        <v>22</v>
      </c>
      <c r="B37" s="378" t="s">
        <v>673</v>
      </c>
      <c r="C37" s="397" t="s">
        <v>1263</v>
      </c>
      <c r="D37" s="394"/>
      <c r="E37" s="394" t="s">
        <v>36</v>
      </c>
      <c r="F37" s="394">
        <v>1</v>
      </c>
      <c r="G37" s="380"/>
      <c r="H37" s="381"/>
    </row>
    <row r="38" spans="1:8">
      <c r="A38" s="385">
        <f t="shared" si="0"/>
        <v>23</v>
      </c>
      <c r="B38" s="378" t="s">
        <v>673</v>
      </c>
      <c r="C38" s="397" t="s">
        <v>274</v>
      </c>
      <c r="D38" s="394"/>
      <c r="E38" s="394" t="s">
        <v>36</v>
      </c>
      <c r="F38" s="394">
        <v>1</v>
      </c>
      <c r="G38" s="380"/>
      <c r="H38" s="381"/>
    </row>
    <row r="39" spans="1:8">
      <c r="A39" s="382"/>
      <c r="B39" s="378" t="s">
        <v>673</v>
      </c>
      <c r="C39" s="398" t="s">
        <v>697</v>
      </c>
      <c r="D39" s="398"/>
      <c r="E39" s="398"/>
      <c r="F39" s="398"/>
      <c r="G39" s="380"/>
      <c r="H39" s="381"/>
    </row>
    <row r="40" spans="1:8">
      <c r="A40" s="385">
        <v>1</v>
      </c>
      <c r="B40" s="378" t="s">
        <v>673</v>
      </c>
      <c r="C40" s="399" t="s">
        <v>1264</v>
      </c>
      <c r="D40" s="400" t="s">
        <v>1265</v>
      </c>
      <c r="E40" s="387" t="s">
        <v>130</v>
      </c>
      <c r="F40" s="388">
        <v>2</v>
      </c>
      <c r="G40" s="380"/>
      <c r="H40" s="381"/>
    </row>
    <row r="41" spans="1:8">
      <c r="A41" s="385">
        <f t="shared" ref="A41:A46" si="1">A40+1</f>
        <v>2</v>
      </c>
      <c r="B41" s="378" t="s">
        <v>673</v>
      </c>
      <c r="C41" s="401" t="s">
        <v>1266</v>
      </c>
      <c r="D41" s="402" t="s">
        <v>1267</v>
      </c>
      <c r="E41" s="387" t="s">
        <v>33</v>
      </c>
      <c r="F41" s="388">
        <v>2</v>
      </c>
      <c r="G41" s="380"/>
      <c r="H41" s="381"/>
    </row>
    <row r="42" spans="1:8">
      <c r="A42" s="385">
        <f t="shared" si="1"/>
        <v>3</v>
      </c>
      <c r="B42" s="378" t="s">
        <v>673</v>
      </c>
      <c r="C42" s="399" t="s">
        <v>1268</v>
      </c>
      <c r="D42" s="400" t="s">
        <v>1256</v>
      </c>
      <c r="E42" s="387" t="s">
        <v>130</v>
      </c>
      <c r="F42" s="388">
        <v>2</v>
      </c>
      <c r="G42" s="380"/>
      <c r="H42" s="381"/>
    </row>
    <row r="43" spans="1:8" ht="24">
      <c r="A43" s="385">
        <f t="shared" si="1"/>
        <v>4</v>
      </c>
      <c r="B43" s="378" t="s">
        <v>673</v>
      </c>
      <c r="C43" s="403" t="s">
        <v>1269</v>
      </c>
      <c r="D43" s="400" t="s">
        <v>1270</v>
      </c>
      <c r="E43" s="396" t="s">
        <v>130</v>
      </c>
      <c r="F43" s="404">
        <v>1</v>
      </c>
      <c r="G43" s="380"/>
      <c r="H43" s="381"/>
    </row>
    <row r="44" spans="1:8">
      <c r="A44" s="385">
        <f t="shared" si="1"/>
        <v>5</v>
      </c>
      <c r="B44" s="378" t="s">
        <v>673</v>
      </c>
      <c r="C44" s="401" t="s">
        <v>1266</v>
      </c>
      <c r="D44" s="402" t="s">
        <v>1271</v>
      </c>
      <c r="E44" s="387" t="s">
        <v>33</v>
      </c>
      <c r="F44" s="388">
        <v>2</v>
      </c>
      <c r="G44" s="380"/>
      <c r="H44" s="381"/>
    </row>
    <row r="45" spans="1:8">
      <c r="A45" s="385">
        <f t="shared" si="1"/>
        <v>6</v>
      </c>
      <c r="B45" s="378" t="s">
        <v>673</v>
      </c>
      <c r="C45" s="401" t="s">
        <v>1272</v>
      </c>
      <c r="D45" s="402" t="s">
        <v>1273</v>
      </c>
      <c r="E45" s="387" t="s">
        <v>130</v>
      </c>
      <c r="F45" s="388">
        <v>1</v>
      </c>
      <c r="G45" s="380"/>
      <c r="H45" s="381"/>
    </row>
    <row r="46" spans="1:8">
      <c r="A46" s="385">
        <f t="shared" si="1"/>
        <v>7</v>
      </c>
      <c r="B46" s="378" t="s">
        <v>673</v>
      </c>
      <c r="C46" s="401" t="s">
        <v>1274</v>
      </c>
      <c r="D46" s="402" t="s">
        <v>1252</v>
      </c>
      <c r="E46" s="387" t="s">
        <v>130</v>
      </c>
      <c r="F46" s="388">
        <v>1</v>
      </c>
      <c r="G46" s="380"/>
      <c r="H46" s="381"/>
    </row>
    <row r="47" spans="1:8">
      <c r="A47" s="382"/>
      <c r="B47" s="378"/>
      <c r="C47" s="398" t="s">
        <v>698</v>
      </c>
      <c r="D47" s="398"/>
      <c r="E47" s="398"/>
      <c r="F47" s="398"/>
      <c r="G47" s="380"/>
      <c r="H47" s="381"/>
    </row>
    <row r="48" spans="1:8">
      <c r="A48" s="385">
        <v>1</v>
      </c>
      <c r="B48" s="378" t="s">
        <v>673</v>
      </c>
      <c r="C48" s="399" t="s">
        <v>1264</v>
      </c>
      <c r="D48" s="400" t="s">
        <v>1275</v>
      </c>
      <c r="E48" s="387" t="s">
        <v>130</v>
      </c>
      <c r="F48" s="388">
        <v>1</v>
      </c>
      <c r="G48" s="380"/>
      <c r="H48" s="381"/>
    </row>
    <row r="49" spans="1:8">
      <c r="A49" s="385">
        <f t="shared" ref="A49:A55" si="2">A48+1</f>
        <v>2</v>
      </c>
      <c r="B49" s="378" t="s">
        <v>673</v>
      </c>
      <c r="C49" s="401" t="s">
        <v>1266</v>
      </c>
      <c r="D49" s="402" t="s">
        <v>1276</v>
      </c>
      <c r="E49" s="387" t="s">
        <v>33</v>
      </c>
      <c r="F49" s="388">
        <v>2</v>
      </c>
      <c r="G49" s="380"/>
      <c r="H49" s="381"/>
    </row>
    <row r="50" spans="1:8">
      <c r="A50" s="385">
        <f t="shared" si="2"/>
        <v>3</v>
      </c>
      <c r="B50" s="378" t="s">
        <v>673</v>
      </c>
      <c r="C50" s="399" t="s">
        <v>1268</v>
      </c>
      <c r="D50" s="400" t="s">
        <v>1255</v>
      </c>
      <c r="E50" s="387" t="s">
        <v>130</v>
      </c>
      <c r="F50" s="388">
        <v>2</v>
      </c>
      <c r="G50" s="380"/>
      <c r="H50" s="381"/>
    </row>
    <row r="51" spans="1:8" ht="24">
      <c r="A51" s="385">
        <f t="shared" si="2"/>
        <v>4</v>
      </c>
      <c r="B51" s="378" t="s">
        <v>673</v>
      </c>
      <c r="C51" s="403" t="s">
        <v>1269</v>
      </c>
      <c r="D51" s="400" t="s">
        <v>1277</v>
      </c>
      <c r="E51" s="396" t="s">
        <v>130</v>
      </c>
      <c r="F51" s="404">
        <v>1</v>
      </c>
      <c r="G51" s="380"/>
      <c r="H51" s="381"/>
    </row>
    <row r="52" spans="1:8">
      <c r="A52" s="385">
        <f t="shared" si="2"/>
        <v>5</v>
      </c>
      <c r="B52" s="378" t="s">
        <v>673</v>
      </c>
      <c r="C52" s="401" t="s">
        <v>1266</v>
      </c>
      <c r="D52" s="402" t="s">
        <v>1278</v>
      </c>
      <c r="E52" s="387" t="s">
        <v>33</v>
      </c>
      <c r="F52" s="388">
        <v>2</v>
      </c>
      <c r="G52" s="380"/>
      <c r="H52" s="381"/>
    </row>
    <row r="53" spans="1:8">
      <c r="A53" s="385">
        <f t="shared" si="2"/>
        <v>6</v>
      </c>
      <c r="B53" s="378" t="s">
        <v>673</v>
      </c>
      <c r="C53" s="401" t="s">
        <v>1272</v>
      </c>
      <c r="D53" s="402" t="s">
        <v>1279</v>
      </c>
      <c r="E53" s="387" t="s">
        <v>130</v>
      </c>
      <c r="F53" s="388">
        <v>1</v>
      </c>
      <c r="G53" s="380"/>
      <c r="H53" s="381"/>
    </row>
    <row r="54" spans="1:8">
      <c r="A54" s="385">
        <f t="shared" si="2"/>
        <v>7</v>
      </c>
      <c r="B54" s="378" t="s">
        <v>673</v>
      </c>
      <c r="C54" s="401" t="s">
        <v>1274</v>
      </c>
      <c r="D54" s="402" t="s">
        <v>1252</v>
      </c>
      <c r="E54" s="387" t="s">
        <v>130</v>
      </c>
      <c r="F54" s="388">
        <v>1</v>
      </c>
      <c r="G54" s="380"/>
      <c r="H54" s="381"/>
    </row>
    <row r="55" spans="1:8">
      <c r="A55" s="385">
        <f t="shared" si="2"/>
        <v>8</v>
      </c>
      <c r="B55" s="378" t="s">
        <v>673</v>
      </c>
      <c r="C55" s="399" t="s">
        <v>1280</v>
      </c>
      <c r="D55" s="400" t="s">
        <v>1281</v>
      </c>
      <c r="E55" s="387" t="s">
        <v>130</v>
      </c>
      <c r="F55" s="388">
        <v>1</v>
      </c>
      <c r="G55" s="380"/>
      <c r="H55" s="381"/>
    </row>
    <row r="56" spans="1:8">
      <c r="A56" s="382"/>
      <c r="B56" s="378"/>
      <c r="C56" s="405" t="s">
        <v>275</v>
      </c>
      <c r="D56" s="405"/>
      <c r="E56" s="405"/>
      <c r="F56" s="405"/>
      <c r="G56" s="380"/>
      <c r="H56" s="381"/>
    </row>
    <row r="57" spans="1:8">
      <c r="A57" s="385">
        <v>1</v>
      </c>
      <c r="B57" s="378" t="s">
        <v>673</v>
      </c>
      <c r="C57" s="386" t="s">
        <v>1251</v>
      </c>
      <c r="D57" s="387" t="s">
        <v>1252</v>
      </c>
      <c r="E57" s="387" t="s">
        <v>33</v>
      </c>
      <c r="F57" s="388">
        <v>64</v>
      </c>
      <c r="G57" s="380"/>
      <c r="H57" s="381"/>
    </row>
    <row r="58" spans="1:8">
      <c r="A58" s="385">
        <f t="shared" si="0"/>
        <v>2</v>
      </c>
      <c r="B58" s="378" t="s">
        <v>673</v>
      </c>
      <c r="C58" s="386" t="s">
        <v>1253</v>
      </c>
      <c r="D58" s="387" t="s">
        <v>1252</v>
      </c>
      <c r="E58" s="387" t="s">
        <v>33</v>
      </c>
      <c r="F58" s="388">
        <v>30</v>
      </c>
      <c r="G58" s="380"/>
      <c r="H58" s="381"/>
    </row>
    <row r="59" spans="1:8">
      <c r="A59" s="385">
        <f t="shared" si="0"/>
        <v>3</v>
      </c>
      <c r="B59" s="378" t="s">
        <v>673</v>
      </c>
      <c r="C59" s="386" t="s">
        <v>1254</v>
      </c>
      <c r="D59" s="387" t="s">
        <v>1255</v>
      </c>
      <c r="E59" s="387" t="s">
        <v>33</v>
      </c>
      <c r="F59" s="388">
        <v>47</v>
      </c>
      <c r="G59" s="380"/>
      <c r="H59" s="381"/>
    </row>
    <row r="60" spans="1:8">
      <c r="A60" s="385">
        <f t="shared" si="0"/>
        <v>4</v>
      </c>
      <c r="B60" s="378" t="s">
        <v>673</v>
      </c>
      <c r="C60" s="386" t="s">
        <v>265</v>
      </c>
      <c r="D60" s="387" t="s">
        <v>1256</v>
      </c>
      <c r="E60" s="387" t="s">
        <v>33</v>
      </c>
      <c r="F60" s="388">
        <v>28</v>
      </c>
      <c r="G60" s="380"/>
      <c r="H60" s="381"/>
    </row>
    <row r="61" spans="1:8">
      <c r="A61" s="385">
        <f t="shared" si="0"/>
        <v>5</v>
      </c>
      <c r="B61" s="378" t="s">
        <v>673</v>
      </c>
      <c r="C61" s="386" t="s">
        <v>1282</v>
      </c>
      <c r="D61" s="387" t="s">
        <v>1260</v>
      </c>
      <c r="E61" s="387" t="s">
        <v>33</v>
      </c>
      <c r="F61" s="388">
        <v>59</v>
      </c>
      <c r="G61" s="380"/>
      <c r="H61" s="381"/>
    </row>
    <row r="62" spans="1:8">
      <c r="A62" s="385"/>
      <c r="B62" s="498" t="s">
        <v>673</v>
      </c>
      <c r="C62" s="499" t="s">
        <v>1283</v>
      </c>
      <c r="D62" s="500" t="s">
        <v>1258</v>
      </c>
      <c r="E62" s="500" t="s">
        <v>33</v>
      </c>
      <c r="F62" s="501">
        <v>60</v>
      </c>
      <c r="G62" s="380"/>
      <c r="H62" s="381"/>
    </row>
    <row r="63" spans="1:8">
      <c r="A63" s="385">
        <f>A61+1</f>
        <v>6</v>
      </c>
      <c r="B63" s="498" t="s">
        <v>673</v>
      </c>
      <c r="C63" s="389" t="s">
        <v>266</v>
      </c>
      <c r="D63" s="390"/>
      <c r="E63" s="391" t="s">
        <v>36</v>
      </c>
      <c r="F63" s="392">
        <v>1</v>
      </c>
      <c r="G63" s="380"/>
      <c r="H63" s="381"/>
    </row>
    <row r="64" spans="1:8" ht="24">
      <c r="A64" s="385">
        <f t="shared" si="0"/>
        <v>7</v>
      </c>
      <c r="B64" s="498" t="s">
        <v>673</v>
      </c>
      <c r="C64" s="499" t="s">
        <v>276</v>
      </c>
      <c r="D64" s="502"/>
      <c r="E64" s="500" t="s">
        <v>33</v>
      </c>
      <c r="F64" s="502">
        <v>59</v>
      </c>
      <c r="G64" s="380"/>
      <c r="H64" s="381"/>
    </row>
    <row r="65" spans="1:8" ht="24">
      <c r="A65" s="385">
        <f t="shared" si="0"/>
        <v>8</v>
      </c>
      <c r="B65" s="498" t="s">
        <v>673</v>
      </c>
      <c r="C65" s="499" t="s">
        <v>277</v>
      </c>
      <c r="D65" s="502"/>
      <c r="E65" s="500" t="s">
        <v>33</v>
      </c>
      <c r="F65" s="502">
        <v>30</v>
      </c>
      <c r="G65" s="380"/>
      <c r="H65" s="381"/>
    </row>
    <row r="66" spans="1:8" ht="24">
      <c r="A66" s="385">
        <f t="shared" si="0"/>
        <v>9</v>
      </c>
      <c r="B66" s="498" t="s">
        <v>673</v>
      </c>
      <c r="C66" s="499" t="s">
        <v>278</v>
      </c>
      <c r="D66" s="502"/>
      <c r="E66" s="500" t="s">
        <v>33</v>
      </c>
      <c r="F66" s="502">
        <v>47</v>
      </c>
      <c r="G66" s="380"/>
      <c r="H66" s="381"/>
    </row>
    <row r="67" spans="1:8" ht="24">
      <c r="A67" s="385">
        <f t="shared" si="0"/>
        <v>10</v>
      </c>
      <c r="B67" s="498" t="s">
        <v>673</v>
      </c>
      <c r="C67" s="499" t="s">
        <v>279</v>
      </c>
      <c r="D67" s="391"/>
      <c r="E67" s="500" t="s">
        <v>33</v>
      </c>
      <c r="F67" s="502">
        <v>28</v>
      </c>
      <c r="G67" s="380"/>
      <c r="H67" s="381"/>
    </row>
    <row r="68" spans="1:8" ht="24">
      <c r="A68" s="385">
        <f t="shared" si="0"/>
        <v>11</v>
      </c>
      <c r="B68" s="498" t="s">
        <v>673</v>
      </c>
      <c r="C68" s="499" t="s">
        <v>699</v>
      </c>
      <c r="D68" s="391"/>
      <c r="E68" s="500" t="s">
        <v>33</v>
      </c>
      <c r="F68" s="502">
        <v>59</v>
      </c>
      <c r="G68" s="380"/>
      <c r="H68" s="381"/>
    </row>
    <row r="69" spans="1:8">
      <c r="A69" s="385">
        <f t="shared" si="0"/>
        <v>12</v>
      </c>
      <c r="B69" s="498" t="s">
        <v>673</v>
      </c>
      <c r="C69" s="503" t="s">
        <v>1261</v>
      </c>
      <c r="D69" s="502" t="s">
        <v>1252</v>
      </c>
      <c r="E69" s="500" t="s">
        <v>130</v>
      </c>
      <c r="F69" s="502">
        <v>20</v>
      </c>
      <c r="G69" s="380"/>
      <c r="H69" s="381"/>
    </row>
    <row r="70" spans="1:8">
      <c r="A70" s="385">
        <f t="shared" si="0"/>
        <v>13</v>
      </c>
      <c r="B70" s="498" t="s">
        <v>673</v>
      </c>
      <c r="C70" s="503" t="s">
        <v>1261</v>
      </c>
      <c r="D70" s="502" t="s">
        <v>1255</v>
      </c>
      <c r="E70" s="502" t="s">
        <v>130</v>
      </c>
      <c r="F70" s="502">
        <v>8</v>
      </c>
      <c r="G70" s="380"/>
      <c r="H70" s="381"/>
    </row>
    <row r="71" spans="1:8">
      <c r="A71" s="385">
        <f t="shared" si="0"/>
        <v>14</v>
      </c>
      <c r="B71" s="498" t="s">
        <v>673</v>
      </c>
      <c r="C71" s="503" t="s">
        <v>1261</v>
      </c>
      <c r="D71" s="502" t="s">
        <v>1256</v>
      </c>
      <c r="E71" s="502" t="s">
        <v>130</v>
      </c>
      <c r="F71" s="502">
        <v>6</v>
      </c>
      <c r="G71" s="380"/>
      <c r="H71" s="381"/>
    </row>
    <row r="72" spans="1:8">
      <c r="A72" s="385">
        <v>15</v>
      </c>
      <c r="B72" s="498" t="s">
        <v>673</v>
      </c>
      <c r="C72" s="503" t="s">
        <v>1261</v>
      </c>
      <c r="D72" s="502" t="s">
        <v>1258</v>
      </c>
      <c r="E72" s="502" t="s">
        <v>130</v>
      </c>
      <c r="F72" s="502">
        <v>2</v>
      </c>
      <c r="G72" s="380"/>
      <c r="H72" s="381"/>
    </row>
    <row r="73" spans="1:8">
      <c r="A73" s="385">
        <v>16</v>
      </c>
      <c r="B73" s="378" t="s">
        <v>673</v>
      </c>
      <c r="C73" s="406" t="s">
        <v>1284</v>
      </c>
      <c r="D73" s="396" t="s">
        <v>1255</v>
      </c>
      <c r="E73" s="396" t="s">
        <v>130</v>
      </c>
      <c r="F73" s="396">
        <v>1</v>
      </c>
      <c r="G73" s="380"/>
      <c r="H73" s="381"/>
    </row>
    <row r="74" spans="1:8">
      <c r="A74" s="385">
        <v>17</v>
      </c>
      <c r="B74" s="378" t="s">
        <v>673</v>
      </c>
      <c r="C74" s="386" t="s">
        <v>280</v>
      </c>
      <c r="D74" s="396"/>
      <c r="E74" s="396" t="s">
        <v>36</v>
      </c>
      <c r="F74" s="396">
        <v>1</v>
      </c>
      <c r="G74" s="380"/>
      <c r="H74" s="381"/>
    </row>
    <row r="75" spans="1:8">
      <c r="A75" s="385">
        <f t="shared" si="0"/>
        <v>18</v>
      </c>
      <c r="B75" s="378" t="s">
        <v>673</v>
      </c>
      <c r="C75" s="407" t="s">
        <v>1263</v>
      </c>
      <c r="D75" s="396"/>
      <c r="E75" s="396" t="s">
        <v>36</v>
      </c>
      <c r="F75" s="396">
        <v>1</v>
      </c>
      <c r="G75" s="380"/>
      <c r="H75" s="381"/>
    </row>
    <row r="76" spans="1:8">
      <c r="A76" s="385">
        <f t="shared" si="0"/>
        <v>19</v>
      </c>
      <c r="B76" s="378" t="s">
        <v>673</v>
      </c>
      <c r="C76" s="407" t="s">
        <v>274</v>
      </c>
      <c r="D76" s="396"/>
      <c r="E76" s="396" t="s">
        <v>36</v>
      </c>
      <c r="F76" s="396">
        <v>1</v>
      </c>
      <c r="G76" s="380"/>
      <c r="H76" s="381"/>
    </row>
    <row r="77" spans="1:8">
      <c r="A77" s="382"/>
      <c r="B77" s="378"/>
      <c r="C77" s="405" t="s">
        <v>281</v>
      </c>
      <c r="D77" s="405"/>
      <c r="E77" s="405"/>
      <c r="F77" s="405"/>
      <c r="G77" s="380"/>
      <c r="H77" s="381"/>
    </row>
    <row r="78" spans="1:8" ht="24">
      <c r="A78" s="385">
        <v>1</v>
      </c>
      <c r="B78" s="378" t="s">
        <v>673</v>
      </c>
      <c r="C78" s="389" t="s">
        <v>1285</v>
      </c>
      <c r="D78" s="390" t="s">
        <v>1260</v>
      </c>
      <c r="E78" s="391" t="s">
        <v>33</v>
      </c>
      <c r="F78" s="390">
        <v>124</v>
      </c>
      <c r="G78" s="380"/>
      <c r="H78" s="381"/>
    </row>
    <row r="79" spans="1:8" ht="48">
      <c r="A79" s="385">
        <f t="shared" si="0"/>
        <v>2</v>
      </c>
      <c r="B79" s="378" t="s">
        <v>673</v>
      </c>
      <c r="C79" s="386" t="s">
        <v>282</v>
      </c>
      <c r="D79" s="396"/>
      <c r="E79" s="396" t="s">
        <v>36</v>
      </c>
      <c r="F79" s="396">
        <v>8</v>
      </c>
      <c r="G79" s="380"/>
      <c r="H79" s="381"/>
    </row>
    <row r="80" spans="1:8">
      <c r="A80" s="385">
        <f t="shared" si="0"/>
        <v>3</v>
      </c>
      <c r="B80" s="378" t="s">
        <v>673</v>
      </c>
      <c r="C80" s="386" t="s">
        <v>1286</v>
      </c>
      <c r="D80" s="396" t="s">
        <v>1260</v>
      </c>
      <c r="E80" s="396" t="s">
        <v>130</v>
      </c>
      <c r="F80" s="396">
        <v>1</v>
      </c>
      <c r="G80" s="380"/>
      <c r="H80" s="381"/>
    </row>
    <row r="81" spans="1:8">
      <c r="A81" s="385">
        <f t="shared" ref="A81:A84" si="3">A80+1</f>
        <v>4</v>
      </c>
      <c r="B81" s="378" t="s">
        <v>673</v>
      </c>
      <c r="C81" s="386" t="s">
        <v>283</v>
      </c>
      <c r="D81" s="396"/>
      <c r="E81" s="396" t="s">
        <v>130</v>
      </c>
      <c r="F81" s="396">
        <v>1</v>
      </c>
      <c r="G81" s="380"/>
      <c r="H81" s="381"/>
    </row>
    <row r="82" spans="1:8">
      <c r="A82" s="385">
        <f t="shared" si="3"/>
        <v>5</v>
      </c>
      <c r="B82" s="378" t="s">
        <v>673</v>
      </c>
      <c r="C82" s="401" t="s">
        <v>1274</v>
      </c>
      <c r="D82" s="402" t="s">
        <v>1260</v>
      </c>
      <c r="E82" s="387" t="s">
        <v>130</v>
      </c>
      <c r="F82" s="388">
        <v>1</v>
      </c>
      <c r="G82" s="380"/>
      <c r="H82" s="381"/>
    </row>
    <row r="83" spans="1:8">
      <c r="A83" s="385">
        <f t="shared" si="3"/>
        <v>6</v>
      </c>
      <c r="B83" s="378" t="s">
        <v>673</v>
      </c>
      <c r="C83" s="406" t="s">
        <v>1287</v>
      </c>
      <c r="D83" s="396" t="s">
        <v>1260</v>
      </c>
      <c r="E83" s="396" t="s">
        <v>36</v>
      </c>
      <c r="F83" s="396">
        <v>1</v>
      </c>
      <c r="G83" s="380"/>
      <c r="H83" s="381"/>
    </row>
    <row r="84" spans="1:8">
      <c r="A84" s="385">
        <f t="shared" si="3"/>
        <v>7</v>
      </c>
      <c r="B84" s="378" t="s">
        <v>673</v>
      </c>
      <c r="C84" s="386" t="s">
        <v>1288</v>
      </c>
      <c r="D84" s="396"/>
      <c r="E84" s="396" t="s">
        <v>36</v>
      </c>
      <c r="F84" s="396">
        <v>1</v>
      </c>
      <c r="G84" s="380"/>
      <c r="H84" s="381"/>
    </row>
    <row r="85" spans="1:8">
      <c r="A85" s="494"/>
      <c r="B85" s="495"/>
      <c r="C85" s="496"/>
      <c r="D85" s="496"/>
      <c r="E85" s="496"/>
      <c r="F85" s="496"/>
      <c r="G85" s="380"/>
      <c r="H85" s="381"/>
    </row>
    <row r="86" spans="1:8" s="17" customFormat="1">
      <c r="A86" s="408"/>
      <c r="B86" s="409"/>
      <c r="C86" s="410"/>
      <c r="D86" s="410"/>
      <c r="E86" s="411"/>
      <c r="F86" s="412"/>
      <c r="G86" s="412"/>
      <c r="H86" s="413"/>
    </row>
    <row r="87" spans="1:8" ht="15">
      <c r="A87" s="13"/>
      <c r="B87" s="13"/>
      <c r="C87" s="18"/>
      <c r="D87" s="368"/>
      <c r="E87" s="19"/>
      <c r="F87" s="18"/>
      <c r="G87" s="18" t="s">
        <v>6</v>
      </c>
      <c r="H87" s="20"/>
    </row>
    <row r="89" spans="1:8" s="25" customFormat="1" ht="12.75" customHeight="1">
      <c r="B89" s="26" t="str">
        <f>'1,1'!B32</f>
        <v>Piezīmes:</v>
      </c>
    </row>
    <row r="90" spans="1:8" s="25" customFormat="1" ht="45" customHeight="1">
      <c r="A90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90" s="546"/>
      <c r="C90" s="546"/>
      <c r="D90" s="546"/>
      <c r="E90" s="546"/>
      <c r="F90" s="546"/>
      <c r="G90" s="546"/>
      <c r="H90" s="546"/>
    </row>
    <row r="91" spans="1:8" s="25" customFormat="1" ht="12.75" customHeight="1">
      <c r="A91" s="546">
        <f>'1,1'!$A$34</f>
        <v>0</v>
      </c>
      <c r="B91" s="546"/>
      <c r="C91" s="546"/>
      <c r="D91" s="546"/>
      <c r="E91" s="546"/>
      <c r="F91" s="546"/>
      <c r="G91" s="546"/>
      <c r="H91" s="546"/>
    </row>
    <row r="92" spans="1:8" s="25" customFormat="1" ht="12.75" customHeight="1">
      <c r="B92" s="27"/>
    </row>
    <row r="93" spans="1:8">
      <c r="B93" s="5" t="str">
        <f>'1,1'!B36</f>
        <v>Sastādīja:</v>
      </c>
    </row>
    <row r="94" spans="1:8" ht="14.25" customHeight="1">
      <c r="C94" s="33" t="str">
        <f>'1,1'!C37</f>
        <v>Arnis Gailītis</v>
      </c>
      <c r="D94" s="33"/>
    </row>
    <row r="95" spans="1:8">
      <c r="C95" s="34" t="str">
        <f>'1,1'!C38</f>
        <v>Sertifikāta Nr.20-5643</v>
      </c>
      <c r="D95" s="34"/>
      <c r="E95" s="35"/>
    </row>
    <row r="98" spans="2:4">
      <c r="B98" s="40" t="str">
        <f>'1,1'!B41</f>
        <v>Pārbaudīja:</v>
      </c>
      <c r="C98" s="3"/>
      <c r="D98" s="3"/>
    </row>
    <row r="99" spans="2:4">
      <c r="B99" s="2"/>
      <c r="C99" s="33" t="str">
        <f>'1,1'!C42</f>
        <v>Aivars Mauriņš</v>
      </c>
      <c r="D99" s="33"/>
    </row>
    <row r="100" spans="2:4">
      <c r="B100" s="1"/>
      <c r="C100" s="34" t="str">
        <f>'1,1'!C43</f>
        <v>Sertifikāta Nr.20-5957</v>
      </c>
      <c r="D100" s="34"/>
    </row>
  </sheetData>
  <mergeCells count="15">
    <mergeCell ref="C11:D12"/>
    <mergeCell ref="A91:H91"/>
    <mergeCell ref="A90:H90"/>
    <mergeCell ref="A1:C1"/>
    <mergeCell ref="A2:H2"/>
    <mergeCell ref="A7:H7"/>
    <mergeCell ref="A11:A12"/>
    <mergeCell ref="B11:B12"/>
    <mergeCell ref="E11:E12"/>
    <mergeCell ref="F11:F12"/>
    <mergeCell ref="G11:G12"/>
    <mergeCell ref="H11:H12"/>
    <mergeCell ref="C3:H3"/>
    <mergeCell ref="C4:H4"/>
    <mergeCell ref="C5:H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6"/>
  <sheetViews>
    <sheetView showZeros="0" view="pageBreakPreview" topLeftCell="A10" zoomScale="80" zoomScaleNormal="100" zoomScaleSheetLayoutView="80" workbookViewId="0">
      <selection activeCell="G40" sqref="G40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2.2000000000000002</v>
      </c>
      <c r="E1" s="36"/>
      <c r="F1" s="36"/>
      <c r="G1" s="36"/>
    </row>
    <row r="2" spans="1:7" s="9" customFormat="1" ht="15">
      <c r="A2" s="549" t="str">
        <f>C13</f>
        <v>Iekšējā sadzīves kanalizācija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118"/>
      <c r="B13" s="131">
        <v>0</v>
      </c>
      <c r="C13" s="93" t="str">
        <f>[2]kops2!C22</f>
        <v>Iekšējā sadzīves kanalizācija</v>
      </c>
      <c r="D13" s="132"/>
      <c r="E13" s="133"/>
      <c r="F13" s="23"/>
      <c r="G13" s="24"/>
    </row>
    <row r="14" spans="1:7" ht="25.5">
      <c r="A14" s="134"/>
      <c r="B14" s="135"/>
      <c r="C14" s="136" t="s">
        <v>284</v>
      </c>
      <c r="D14" s="137"/>
      <c r="E14" s="137"/>
      <c r="F14" s="21"/>
      <c r="G14" s="22"/>
    </row>
    <row r="15" spans="1:7">
      <c r="A15" s="121"/>
      <c r="B15" s="120"/>
      <c r="C15" s="138" t="s">
        <v>285</v>
      </c>
      <c r="D15" s="126"/>
      <c r="E15" s="126"/>
      <c r="F15" s="21"/>
      <c r="G15" s="22"/>
    </row>
    <row r="16" spans="1:7">
      <c r="A16" s="121">
        <v>1</v>
      </c>
      <c r="B16" s="120" t="s">
        <v>286</v>
      </c>
      <c r="C16" s="139" t="s">
        <v>287</v>
      </c>
      <c r="D16" s="128" t="s">
        <v>33</v>
      </c>
      <c r="E16" s="129">
        <v>54</v>
      </c>
      <c r="F16" s="21"/>
      <c r="G16" s="22"/>
    </row>
    <row r="17" spans="1:7">
      <c r="A17" s="121">
        <v>2</v>
      </c>
      <c r="B17" s="120" t="s">
        <v>286</v>
      </c>
      <c r="C17" s="139" t="s">
        <v>288</v>
      </c>
      <c r="D17" s="128" t="s">
        <v>33</v>
      </c>
      <c r="E17" s="129">
        <v>19</v>
      </c>
      <c r="F17" s="21"/>
      <c r="G17" s="22"/>
    </row>
    <row r="18" spans="1:7">
      <c r="A18" s="121">
        <v>3</v>
      </c>
      <c r="B18" s="120" t="s">
        <v>286</v>
      </c>
      <c r="C18" s="139" t="s">
        <v>289</v>
      </c>
      <c r="D18" s="130" t="s">
        <v>33</v>
      </c>
      <c r="E18" s="130">
        <v>120</v>
      </c>
      <c r="F18" s="21"/>
      <c r="G18" s="22"/>
    </row>
    <row r="19" spans="1:7">
      <c r="A19" s="121">
        <v>4</v>
      </c>
      <c r="B19" s="120" t="s">
        <v>286</v>
      </c>
      <c r="C19" s="139" t="s">
        <v>290</v>
      </c>
      <c r="D19" s="128" t="s">
        <v>44</v>
      </c>
      <c r="E19" s="129">
        <v>1</v>
      </c>
      <c r="F19" s="21"/>
      <c r="G19" s="22"/>
    </row>
    <row r="20" spans="1:7">
      <c r="A20" s="121">
        <v>5</v>
      </c>
      <c r="B20" s="120" t="s">
        <v>286</v>
      </c>
      <c r="C20" s="139" t="s">
        <v>291</v>
      </c>
      <c r="D20" s="128" t="s">
        <v>44</v>
      </c>
      <c r="E20" s="129">
        <v>1</v>
      </c>
      <c r="F20" s="21"/>
      <c r="G20" s="22"/>
    </row>
    <row r="21" spans="1:7">
      <c r="A21" s="121">
        <v>6</v>
      </c>
      <c r="B21" s="120" t="s">
        <v>286</v>
      </c>
      <c r="C21" s="139" t="s">
        <v>292</v>
      </c>
      <c r="D21" s="128" t="s">
        <v>44</v>
      </c>
      <c r="E21" s="128">
        <v>1</v>
      </c>
      <c r="F21" s="21"/>
      <c r="G21" s="22"/>
    </row>
    <row r="22" spans="1:7">
      <c r="A22" s="121">
        <v>7</v>
      </c>
      <c r="B22" s="120" t="s">
        <v>286</v>
      </c>
      <c r="C22" s="139" t="s">
        <v>293</v>
      </c>
      <c r="D22" s="128" t="s">
        <v>130</v>
      </c>
      <c r="E22" s="128">
        <v>6</v>
      </c>
      <c r="F22" s="21"/>
      <c r="G22" s="22"/>
    </row>
    <row r="23" spans="1:7">
      <c r="A23" s="121">
        <v>8</v>
      </c>
      <c r="B23" s="120" t="s">
        <v>286</v>
      </c>
      <c r="C23" s="139" t="s">
        <v>294</v>
      </c>
      <c r="D23" s="128" t="s">
        <v>130</v>
      </c>
      <c r="E23" s="128">
        <v>6</v>
      </c>
      <c r="F23" s="21"/>
      <c r="G23" s="22"/>
    </row>
    <row r="24" spans="1:7">
      <c r="A24" s="121">
        <v>9</v>
      </c>
      <c r="B24" s="120" t="s">
        <v>286</v>
      </c>
      <c r="C24" s="139" t="s">
        <v>295</v>
      </c>
      <c r="D24" s="128" t="s">
        <v>130</v>
      </c>
      <c r="E24" s="128">
        <v>8</v>
      </c>
      <c r="F24" s="21"/>
      <c r="G24" s="22"/>
    </row>
    <row r="25" spans="1:7">
      <c r="A25" s="121">
        <v>10</v>
      </c>
      <c r="B25" s="120" t="s">
        <v>286</v>
      </c>
      <c r="C25" s="139" t="s">
        <v>280</v>
      </c>
      <c r="D25" s="128" t="s">
        <v>44</v>
      </c>
      <c r="E25" s="128">
        <v>1</v>
      </c>
      <c r="F25" s="21"/>
      <c r="G25" s="22"/>
    </row>
    <row r="26" spans="1:7">
      <c r="A26" s="121">
        <v>11</v>
      </c>
      <c r="B26" s="120" t="s">
        <v>286</v>
      </c>
      <c r="C26" s="140" t="s">
        <v>296</v>
      </c>
      <c r="D26" s="130" t="s">
        <v>130</v>
      </c>
      <c r="E26" s="130">
        <v>12</v>
      </c>
      <c r="F26" s="21"/>
      <c r="G26" s="22"/>
    </row>
    <row r="27" spans="1:7">
      <c r="A27" s="121">
        <v>12</v>
      </c>
      <c r="B27" s="120" t="s">
        <v>286</v>
      </c>
      <c r="C27" s="141" t="s">
        <v>274</v>
      </c>
      <c r="D27" s="130" t="s">
        <v>44</v>
      </c>
      <c r="E27" s="130">
        <v>1</v>
      </c>
      <c r="F27" s="21"/>
      <c r="G27" s="22"/>
    </row>
    <row r="28" spans="1:7" ht="25.5">
      <c r="A28" s="121">
        <v>13</v>
      </c>
      <c r="B28" s="120" t="s">
        <v>286</v>
      </c>
      <c r="C28" s="127" t="s">
        <v>297</v>
      </c>
      <c r="D28" s="130" t="s">
        <v>44</v>
      </c>
      <c r="E28" s="130">
        <v>4</v>
      </c>
      <c r="F28" s="21"/>
      <c r="G28" s="22"/>
    </row>
    <row r="29" spans="1:7" ht="25.5">
      <c r="A29" s="121">
        <v>14</v>
      </c>
      <c r="B29" s="120" t="s">
        <v>286</v>
      </c>
      <c r="C29" s="127" t="s">
        <v>700</v>
      </c>
      <c r="D29" s="130" t="s">
        <v>44</v>
      </c>
      <c r="E29" s="130">
        <v>5</v>
      </c>
      <c r="F29" s="21"/>
      <c r="G29" s="22"/>
    </row>
    <row r="30" spans="1:7">
      <c r="A30" s="121">
        <v>15</v>
      </c>
      <c r="B30" s="120" t="s">
        <v>286</v>
      </c>
      <c r="C30" s="142" t="s">
        <v>298</v>
      </c>
      <c r="D30" s="126" t="s">
        <v>44</v>
      </c>
      <c r="E30" s="126">
        <v>1</v>
      </c>
      <c r="F30" s="21"/>
      <c r="G30" s="22"/>
    </row>
    <row r="31" spans="1:7">
      <c r="A31" s="121"/>
      <c r="B31" s="120"/>
      <c r="C31" s="127"/>
      <c r="D31" s="126"/>
      <c r="E31" s="126"/>
      <c r="F31" s="21"/>
      <c r="G31" s="22"/>
    </row>
    <row r="32" spans="1:7">
      <c r="A32" s="475"/>
      <c r="B32" s="476"/>
      <c r="C32" s="477" t="s">
        <v>299</v>
      </c>
      <c r="D32" s="477"/>
      <c r="E32" s="477"/>
      <c r="F32" s="477"/>
      <c r="G32" s="22"/>
    </row>
    <row r="33" spans="1:7" ht="24">
      <c r="A33" s="478">
        <v>1</v>
      </c>
      <c r="B33" s="479" t="s">
        <v>673</v>
      </c>
      <c r="C33" s="480" t="s">
        <v>300</v>
      </c>
      <c r="D33" s="481" t="s">
        <v>36</v>
      </c>
      <c r="E33" s="481">
        <v>8</v>
      </c>
      <c r="F33" s="477"/>
      <c r="G33" s="22"/>
    </row>
    <row r="34" spans="1:7" ht="24">
      <c r="A34" s="478">
        <f t="shared" ref="A34:A40" si="0">A33+1</f>
        <v>2</v>
      </c>
      <c r="B34" s="479" t="s">
        <v>673</v>
      </c>
      <c r="C34" s="480" t="s">
        <v>301</v>
      </c>
      <c r="D34" s="481" t="s">
        <v>36</v>
      </c>
      <c r="E34" s="481">
        <v>3</v>
      </c>
      <c r="F34" s="477"/>
      <c r="G34" s="22"/>
    </row>
    <row r="35" spans="1:7" ht="24">
      <c r="A35" s="478">
        <f t="shared" si="0"/>
        <v>3</v>
      </c>
      <c r="B35" s="479" t="s">
        <v>673</v>
      </c>
      <c r="C35" s="480" t="s">
        <v>302</v>
      </c>
      <c r="D35" s="481" t="s">
        <v>36</v>
      </c>
      <c r="E35" s="481">
        <v>11</v>
      </c>
      <c r="F35" s="477"/>
      <c r="G35" s="22"/>
    </row>
    <row r="36" spans="1:7" ht="24">
      <c r="A36" s="482">
        <f t="shared" si="0"/>
        <v>4</v>
      </c>
      <c r="B36" s="476" t="s">
        <v>673</v>
      </c>
      <c r="C36" s="483" t="s">
        <v>701</v>
      </c>
      <c r="D36" s="484" t="s">
        <v>36</v>
      </c>
      <c r="E36" s="484">
        <v>3</v>
      </c>
      <c r="F36" s="477"/>
      <c r="G36" s="22"/>
    </row>
    <row r="37" spans="1:7" ht="36">
      <c r="A37" s="478">
        <f t="shared" si="0"/>
        <v>5</v>
      </c>
      <c r="B37" s="479" t="s">
        <v>673</v>
      </c>
      <c r="C37" s="480" t="s">
        <v>303</v>
      </c>
      <c r="D37" s="481" t="s">
        <v>36</v>
      </c>
      <c r="E37" s="481">
        <v>3</v>
      </c>
      <c r="F37" s="477"/>
      <c r="G37" s="22"/>
    </row>
    <row r="38" spans="1:7" ht="36">
      <c r="A38" s="482">
        <f t="shared" si="0"/>
        <v>6</v>
      </c>
      <c r="B38" s="476" t="s">
        <v>673</v>
      </c>
      <c r="C38" s="483" t="s">
        <v>304</v>
      </c>
      <c r="D38" s="484" t="s">
        <v>36</v>
      </c>
      <c r="E38" s="484">
        <v>1</v>
      </c>
      <c r="F38" s="477"/>
      <c r="G38" s="22"/>
    </row>
    <row r="39" spans="1:7" ht="24">
      <c r="A39" s="482">
        <f t="shared" si="0"/>
        <v>7</v>
      </c>
      <c r="B39" s="476" t="s">
        <v>673</v>
      </c>
      <c r="C39" s="483" t="s">
        <v>305</v>
      </c>
      <c r="D39" s="484" t="s">
        <v>36</v>
      </c>
      <c r="E39" s="484">
        <v>5</v>
      </c>
      <c r="F39" s="477"/>
      <c r="G39" s="22"/>
    </row>
    <row r="40" spans="1:7" ht="24">
      <c r="A40" s="482">
        <f t="shared" si="0"/>
        <v>8</v>
      </c>
      <c r="B40" s="476" t="s">
        <v>673</v>
      </c>
      <c r="C40" s="483" t="s">
        <v>306</v>
      </c>
      <c r="D40" s="484" t="s">
        <v>36</v>
      </c>
      <c r="E40" s="484">
        <v>1</v>
      </c>
      <c r="F40" s="477"/>
      <c r="G40" s="22"/>
    </row>
    <row r="41" spans="1:7">
      <c r="A41" s="121">
        <v>9</v>
      </c>
      <c r="B41" s="120" t="s">
        <v>286</v>
      </c>
      <c r="C41" s="142" t="s">
        <v>298</v>
      </c>
      <c r="D41" s="126" t="s">
        <v>44</v>
      </c>
      <c r="E41" s="126">
        <v>1</v>
      </c>
      <c r="F41" s="52"/>
      <c r="G41" s="53"/>
    </row>
    <row r="42" spans="1:7" s="17" customFormat="1">
      <c r="A42" s="28"/>
      <c r="B42" s="29"/>
      <c r="C42" s="30"/>
      <c r="D42" s="31"/>
      <c r="E42" s="12"/>
      <c r="F42" s="12"/>
      <c r="G42" s="32"/>
    </row>
    <row r="43" spans="1:7" ht="15">
      <c r="A43" s="13"/>
      <c r="B43" s="13"/>
      <c r="C43" s="18"/>
      <c r="D43" s="19"/>
      <c r="E43" s="18"/>
      <c r="F43" s="18" t="s">
        <v>6</v>
      </c>
      <c r="G43" s="20"/>
    </row>
    <row r="45" spans="1:7" s="25" customFormat="1" ht="12.75" customHeight="1">
      <c r="B45" s="26" t="str">
        <f>'1,1'!B32</f>
        <v>Piezīmes:</v>
      </c>
    </row>
    <row r="46" spans="1:7" s="25" customFormat="1" ht="45" customHeight="1">
      <c r="A46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6" s="546"/>
      <c r="C46" s="546"/>
      <c r="D46" s="546"/>
      <c r="E46" s="546"/>
      <c r="F46" s="546"/>
      <c r="G46" s="546"/>
    </row>
    <row r="47" spans="1:7" s="25" customFormat="1" ht="12.75" customHeight="1">
      <c r="A47" s="546">
        <f>'1,1'!$A$34</f>
        <v>0</v>
      </c>
      <c r="B47" s="546"/>
      <c r="C47" s="546"/>
      <c r="D47" s="546"/>
      <c r="E47" s="546"/>
      <c r="F47" s="546"/>
      <c r="G47" s="546"/>
    </row>
    <row r="48" spans="1:7" s="25" customFormat="1" ht="12.75" customHeight="1">
      <c r="B48" s="27"/>
    </row>
    <row r="49" spans="2:4">
      <c r="B49" s="5" t="str">
        <f>'1,1'!B36</f>
        <v>Sastādīja:</v>
      </c>
    </row>
    <row r="50" spans="2:4" ht="14.25" customHeight="1">
      <c r="C50" s="33" t="str">
        <f>'1,1'!C37</f>
        <v>Arnis Gailītis</v>
      </c>
    </row>
    <row r="51" spans="2:4">
      <c r="C51" s="34" t="str">
        <f>'1,1'!C38</f>
        <v>Sertifikāta Nr.20-5643</v>
      </c>
      <c r="D51" s="35"/>
    </row>
    <row r="54" spans="2:4">
      <c r="B54" s="40" t="str">
        <f>'1,1'!B41</f>
        <v>Pārbaudīja:</v>
      </c>
      <c r="C54" s="3"/>
    </row>
    <row r="55" spans="2:4">
      <c r="B55" s="2"/>
      <c r="C55" s="33" t="str">
        <f>'1,1'!C42</f>
        <v>Aivars Mauriņš</v>
      </c>
    </row>
    <row r="56" spans="2:4">
      <c r="B56" s="1"/>
      <c r="C56" s="34" t="str">
        <f>'1,1'!C43</f>
        <v>Sertifikāta Nr.20-5957</v>
      </c>
    </row>
  </sheetData>
  <mergeCells count="15">
    <mergeCell ref="A47:G47"/>
    <mergeCell ref="A46:G46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0"/>
  <sheetViews>
    <sheetView showZeros="0" view="pageBreakPreview" topLeftCell="A37" zoomScale="80" zoomScaleNormal="100" zoomScaleSheetLayoutView="80" workbookViewId="0">
      <selection activeCell="A13" sqref="A13:E6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2.2999999999999998</v>
      </c>
      <c r="E1" s="36"/>
      <c r="F1" s="36"/>
      <c r="G1" s="36"/>
    </row>
    <row r="2" spans="1:7" s="9" customFormat="1" ht="15">
      <c r="A2" s="549" t="str">
        <f>C13</f>
        <v>Apkure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118"/>
      <c r="B13" s="131">
        <v>0</v>
      </c>
      <c r="C13" s="93" t="str">
        <f>[2]kops2!C23</f>
        <v>Apkure</v>
      </c>
      <c r="D13" s="143"/>
      <c r="E13" s="144"/>
      <c r="F13" s="23"/>
      <c r="G13" s="24"/>
    </row>
    <row r="14" spans="1:7" ht="25.5">
      <c r="A14" s="134"/>
      <c r="B14" s="135" t="s">
        <v>307</v>
      </c>
      <c r="C14" s="145" t="s">
        <v>308</v>
      </c>
      <c r="D14" s="145"/>
      <c r="E14" s="146"/>
      <c r="F14" s="21"/>
      <c r="G14" s="22"/>
    </row>
    <row r="15" spans="1:7" ht="38.25">
      <c r="A15" s="147">
        <v>1</v>
      </c>
      <c r="B15" s="135" t="s">
        <v>307</v>
      </c>
      <c r="C15" s="148" t="s">
        <v>309</v>
      </c>
      <c r="D15" s="146" t="s">
        <v>44</v>
      </c>
      <c r="E15" s="149">
        <v>3</v>
      </c>
      <c r="F15" s="21"/>
      <c r="G15" s="22"/>
    </row>
    <row r="16" spans="1:7" ht="38.25">
      <c r="A16" s="147">
        <v>2</v>
      </c>
      <c r="B16" s="135" t="s">
        <v>307</v>
      </c>
      <c r="C16" s="148" t="s">
        <v>310</v>
      </c>
      <c r="D16" s="146" t="s">
        <v>44</v>
      </c>
      <c r="E16" s="149">
        <v>3</v>
      </c>
      <c r="F16" s="21"/>
      <c r="G16" s="22"/>
    </row>
    <row r="17" spans="1:7" ht="38.25">
      <c r="A17" s="147">
        <v>3</v>
      </c>
      <c r="B17" s="135" t="s">
        <v>307</v>
      </c>
      <c r="C17" s="148" t="s">
        <v>311</v>
      </c>
      <c r="D17" s="146" t="s">
        <v>44</v>
      </c>
      <c r="E17" s="149">
        <v>3</v>
      </c>
      <c r="F17" s="21"/>
      <c r="G17" s="22"/>
    </row>
    <row r="18" spans="1:7" ht="38.25">
      <c r="A18" s="147">
        <v>4</v>
      </c>
      <c r="B18" s="135" t="s">
        <v>307</v>
      </c>
      <c r="C18" s="148" t="s">
        <v>312</v>
      </c>
      <c r="D18" s="146" t="s">
        <v>44</v>
      </c>
      <c r="E18" s="149">
        <v>3</v>
      </c>
      <c r="F18" s="21"/>
      <c r="G18" s="22"/>
    </row>
    <row r="19" spans="1:7" ht="38.25">
      <c r="A19" s="147">
        <v>5</v>
      </c>
      <c r="B19" s="135" t="s">
        <v>307</v>
      </c>
      <c r="C19" s="148" t="s">
        <v>313</v>
      </c>
      <c r="D19" s="146" t="s">
        <v>44</v>
      </c>
      <c r="E19" s="149">
        <v>8</v>
      </c>
      <c r="F19" s="21"/>
      <c r="G19" s="22"/>
    </row>
    <row r="20" spans="1:7" ht="38.25">
      <c r="A20" s="147">
        <v>6</v>
      </c>
      <c r="B20" s="135" t="s">
        <v>307</v>
      </c>
      <c r="C20" s="148" t="s">
        <v>314</v>
      </c>
      <c r="D20" s="146" t="s">
        <v>44</v>
      </c>
      <c r="E20" s="149">
        <v>6</v>
      </c>
      <c r="F20" s="21"/>
      <c r="G20" s="22"/>
    </row>
    <row r="21" spans="1:7" ht="38.25">
      <c r="A21" s="147">
        <v>7</v>
      </c>
      <c r="B21" s="135" t="s">
        <v>307</v>
      </c>
      <c r="C21" s="148" t="s">
        <v>315</v>
      </c>
      <c r="D21" s="146" t="s">
        <v>44</v>
      </c>
      <c r="E21" s="149">
        <v>7</v>
      </c>
      <c r="F21" s="21"/>
      <c r="G21" s="22"/>
    </row>
    <row r="22" spans="1:7" ht="38.25">
      <c r="A22" s="147">
        <v>8</v>
      </c>
      <c r="B22" s="135" t="s">
        <v>307</v>
      </c>
      <c r="C22" s="148" t="s">
        <v>316</v>
      </c>
      <c r="D22" s="146" t="s">
        <v>44</v>
      </c>
      <c r="E22" s="149">
        <v>2</v>
      </c>
      <c r="F22" s="21"/>
      <c r="G22" s="22"/>
    </row>
    <row r="23" spans="1:7" ht="38.25">
      <c r="A23" s="147">
        <v>9</v>
      </c>
      <c r="B23" s="135" t="s">
        <v>307</v>
      </c>
      <c r="C23" s="148" t="s">
        <v>317</v>
      </c>
      <c r="D23" s="146" t="s">
        <v>44</v>
      </c>
      <c r="E23" s="149">
        <v>1</v>
      </c>
      <c r="F23" s="21"/>
      <c r="G23" s="22"/>
    </row>
    <row r="24" spans="1:7" ht="38.25">
      <c r="A24" s="147">
        <v>10</v>
      </c>
      <c r="B24" s="135" t="s">
        <v>307</v>
      </c>
      <c r="C24" s="148" t="s">
        <v>318</v>
      </c>
      <c r="D24" s="146" t="s">
        <v>44</v>
      </c>
      <c r="E24" s="149">
        <v>2</v>
      </c>
      <c r="F24" s="21"/>
      <c r="G24" s="22"/>
    </row>
    <row r="25" spans="1:7" ht="38.25">
      <c r="A25" s="147">
        <v>11</v>
      </c>
      <c r="B25" s="135" t="s">
        <v>307</v>
      </c>
      <c r="C25" s="148" t="s">
        <v>319</v>
      </c>
      <c r="D25" s="146" t="s">
        <v>44</v>
      </c>
      <c r="E25" s="149">
        <v>1</v>
      </c>
      <c r="F25" s="21"/>
      <c r="G25" s="22"/>
    </row>
    <row r="26" spans="1:7">
      <c r="A26" s="147">
        <v>12</v>
      </c>
      <c r="B26" s="135" t="s">
        <v>307</v>
      </c>
      <c r="C26" s="148" t="s">
        <v>320</v>
      </c>
      <c r="D26" s="135" t="s">
        <v>321</v>
      </c>
      <c r="E26" s="149">
        <v>36</v>
      </c>
      <c r="F26" s="21"/>
      <c r="G26" s="22"/>
    </row>
    <row r="27" spans="1:7">
      <c r="A27" s="147">
        <v>13</v>
      </c>
      <c r="B27" s="135" t="s">
        <v>307</v>
      </c>
      <c r="C27" s="148" t="s">
        <v>322</v>
      </c>
      <c r="D27" s="135" t="s">
        <v>321</v>
      </c>
      <c r="E27" s="149">
        <v>36</v>
      </c>
      <c r="F27" s="21"/>
      <c r="G27" s="22"/>
    </row>
    <row r="28" spans="1:7">
      <c r="A28" s="147">
        <v>14</v>
      </c>
      <c r="B28" s="135" t="s">
        <v>307</v>
      </c>
      <c r="C28" s="148" t="s">
        <v>323</v>
      </c>
      <c r="D28" s="135" t="s">
        <v>321</v>
      </c>
      <c r="E28" s="149">
        <v>36</v>
      </c>
      <c r="F28" s="21"/>
      <c r="G28" s="22"/>
    </row>
    <row r="29" spans="1:7">
      <c r="A29" s="147">
        <v>15</v>
      </c>
      <c r="B29" s="135" t="s">
        <v>307</v>
      </c>
      <c r="C29" s="148" t="s">
        <v>324</v>
      </c>
      <c r="D29" s="135" t="s">
        <v>321</v>
      </c>
      <c r="E29" s="149">
        <v>3</v>
      </c>
      <c r="F29" s="21"/>
      <c r="G29" s="22"/>
    </row>
    <row r="30" spans="1:7">
      <c r="A30" s="147">
        <v>16</v>
      </c>
      <c r="B30" s="135" t="s">
        <v>307</v>
      </c>
      <c r="C30" s="148" t="s">
        <v>325</v>
      </c>
      <c r="D30" s="135" t="s">
        <v>321</v>
      </c>
      <c r="E30" s="149">
        <v>3</v>
      </c>
      <c r="F30" s="21"/>
      <c r="G30" s="22"/>
    </row>
    <row r="31" spans="1:7">
      <c r="A31" s="147">
        <v>17</v>
      </c>
      <c r="B31" s="135" t="s">
        <v>307</v>
      </c>
      <c r="C31" s="148" t="s">
        <v>326</v>
      </c>
      <c r="D31" s="135" t="s">
        <v>321</v>
      </c>
      <c r="E31" s="149">
        <v>3</v>
      </c>
      <c r="F31" s="21"/>
      <c r="G31" s="22"/>
    </row>
    <row r="32" spans="1:7">
      <c r="A32" s="147">
        <v>18</v>
      </c>
      <c r="B32" s="135" t="s">
        <v>307</v>
      </c>
      <c r="C32" s="148" t="s">
        <v>327</v>
      </c>
      <c r="D32" s="135" t="s">
        <v>321</v>
      </c>
      <c r="E32" s="149">
        <v>1</v>
      </c>
      <c r="F32" s="21"/>
      <c r="G32" s="22"/>
    </row>
    <row r="33" spans="1:7">
      <c r="A33" s="147">
        <v>19</v>
      </c>
      <c r="B33" s="135" t="s">
        <v>307</v>
      </c>
      <c r="C33" s="148" t="s">
        <v>328</v>
      </c>
      <c r="D33" s="135" t="s">
        <v>321</v>
      </c>
      <c r="E33" s="149">
        <v>1</v>
      </c>
      <c r="F33" s="21"/>
      <c r="G33" s="22"/>
    </row>
    <row r="34" spans="1:7">
      <c r="A34" s="147">
        <v>20</v>
      </c>
      <c r="B34" s="135" t="s">
        <v>307</v>
      </c>
      <c r="C34" s="148" t="s">
        <v>329</v>
      </c>
      <c r="D34" s="135" t="s">
        <v>321</v>
      </c>
      <c r="E34" s="149">
        <v>2</v>
      </c>
      <c r="F34" s="21"/>
      <c r="G34" s="22"/>
    </row>
    <row r="35" spans="1:7">
      <c r="A35" s="147">
        <v>21</v>
      </c>
      <c r="B35" s="135" t="s">
        <v>307</v>
      </c>
      <c r="C35" s="150" t="s">
        <v>330</v>
      </c>
      <c r="D35" s="135" t="s">
        <v>321</v>
      </c>
      <c r="E35" s="149">
        <v>1</v>
      </c>
      <c r="F35" s="21"/>
      <c r="G35" s="22"/>
    </row>
    <row r="36" spans="1:7">
      <c r="A36" s="147">
        <v>22</v>
      </c>
      <c r="B36" s="135" t="s">
        <v>307</v>
      </c>
      <c r="C36" s="150" t="s">
        <v>331</v>
      </c>
      <c r="D36" s="135" t="s">
        <v>321</v>
      </c>
      <c r="E36" s="149">
        <v>2</v>
      </c>
      <c r="F36" s="21"/>
      <c r="G36" s="22"/>
    </row>
    <row r="37" spans="1:7" ht="25.5">
      <c r="A37" s="147">
        <v>23</v>
      </c>
      <c r="B37" s="135" t="s">
        <v>307</v>
      </c>
      <c r="C37" s="148" t="s">
        <v>332</v>
      </c>
      <c r="D37" s="135" t="s">
        <v>44</v>
      </c>
      <c r="E37" s="149">
        <v>20</v>
      </c>
      <c r="F37" s="21"/>
      <c r="G37" s="22"/>
    </row>
    <row r="38" spans="1:7" ht="25.5">
      <c r="A38" s="147">
        <v>24</v>
      </c>
      <c r="B38" s="135" t="s">
        <v>307</v>
      </c>
      <c r="C38" s="148" t="s">
        <v>333</v>
      </c>
      <c r="D38" s="135" t="s">
        <v>33</v>
      </c>
      <c r="E38" s="149">
        <v>250</v>
      </c>
      <c r="F38" s="21"/>
      <c r="G38" s="22"/>
    </row>
    <row r="39" spans="1:7" ht="25.5">
      <c r="A39" s="147">
        <v>25</v>
      </c>
      <c r="B39" s="135" t="s">
        <v>307</v>
      </c>
      <c r="C39" s="148" t="s">
        <v>334</v>
      </c>
      <c r="D39" s="135" t="s">
        <v>33</v>
      </c>
      <c r="E39" s="149">
        <v>290</v>
      </c>
      <c r="F39" s="21"/>
      <c r="G39" s="22"/>
    </row>
    <row r="40" spans="1:7" ht="25.5">
      <c r="A40" s="147">
        <v>26</v>
      </c>
      <c r="B40" s="135" t="s">
        <v>307</v>
      </c>
      <c r="C40" s="148" t="s">
        <v>335</v>
      </c>
      <c r="D40" s="135" t="s">
        <v>33</v>
      </c>
      <c r="E40" s="149">
        <v>135</v>
      </c>
      <c r="F40" s="21"/>
      <c r="G40" s="22"/>
    </row>
    <row r="41" spans="1:7" ht="25.5">
      <c r="A41" s="147">
        <v>27</v>
      </c>
      <c r="B41" s="135" t="s">
        <v>307</v>
      </c>
      <c r="C41" s="148" t="s">
        <v>336</v>
      </c>
      <c r="D41" s="135" t="s">
        <v>33</v>
      </c>
      <c r="E41" s="149">
        <v>85</v>
      </c>
      <c r="F41" s="21"/>
      <c r="G41" s="22"/>
    </row>
    <row r="42" spans="1:7">
      <c r="A42" s="147">
        <v>28</v>
      </c>
      <c r="B42" s="135" t="s">
        <v>307</v>
      </c>
      <c r="C42" s="151" t="s">
        <v>1139</v>
      </c>
      <c r="D42" s="135" t="s">
        <v>33</v>
      </c>
      <c r="E42" s="149">
        <v>10</v>
      </c>
      <c r="F42" s="21"/>
      <c r="G42" s="22"/>
    </row>
    <row r="43" spans="1:7">
      <c r="A43" s="147">
        <v>29</v>
      </c>
      <c r="B43" s="135" t="s">
        <v>307</v>
      </c>
      <c r="C43" s="148" t="s">
        <v>337</v>
      </c>
      <c r="D43" s="135" t="s">
        <v>33</v>
      </c>
      <c r="E43" s="149">
        <v>260</v>
      </c>
      <c r="F43" s="21"/>
      <c r="G43" s="22"/>
    </row>
    <row r="44" spans="1:7">
      <c r="A44" s="147">
        <v>30</v>
      </c>
      <c r="B44" s="135" t="s">
        <v>307</v>
      </c>
      <c r="C44" s="148" t="s">
        <v>338</v>
      </c>
      <c r="D44" s="135" t="s">
        <v>33</v>
      </c>
      <c r="E44" s="149">
        <v>300</v>
      </c>
      <c r="F44" s="21"/>
      <c r="G44" s="22"/>
    </row>
    <row r="45" spans="1:7">
      <c r="A45" s="147">
        <v>31</v>
      </c>
      <c r="B45" s="135" t="s">
        <v>307</v>
      </c>
      <c r="C45" s="148" t="s">
        <v>339</v>
      </c>
      <c r="D45" s="135" t="s">
        <v>33</v>
      </c>
      <c r="E45" s="149">
        <v>140</v>
      </c>
      <c r="F45" s="21"/>
      <c r="G45" s="22"/>
    </row>
    <row r="46" spans="1:7">
      <c r="A46" s="147">
        <v>32</v>
      </c>
      <c r="B46" s="135" t="s">
        <v>307</v>
      </c>
      <c r="C46" s="148" t="s">
        <v>340</v>
      </c>
      <c r="D46" s="135" t="s">
        <v>33</v>
      </c>
      <c r="E46" s="149">
        <v>87</v>
      </c>
      <c r="F46" s="21"/>
      <c r="G46" s="22"/>
    </row>
    <row r="47" spans="1:7" ht="25.5">
      <c r="A47" s="147">
        <v>33</v>
      </c>
      <c r="B47" s="135" t="s">
        <v>307</v>
      </c>
      <c r="C47" s="148" t="s">
        <v>341</v>
      </c>
      <c r="D47" s="135" t="s">
        <v>33</v>
      </c>
      <c r="E47" s="149">
        <v>11</v>
      </c>
      <c r="F47" s="21"/>
      <c r="G47" s="22"/>
    </row>
    <row r="48" spans="1:7" ht="25.5">
      <c r="A48" s="147">
        <v>34</v>
      </c>
      <c r="B48" s="135" t="s">
        <v>307</v>
      </c>
      <c r="C48" s="148" t="s">
        <v>342</v>
      </c>
      <c r="D48" s="135" t="s">
        <v>44</v>
      </c>
      <c r="E48" s="149">
        <v>1</v>
      </c>
      <c r="F48" s="21"/>
      <c r="G48" s="22"/>
    </row>
    <row r="49" spans="1:7">
      <c r="A49" s="147">
        <v>35</v>
      </c>
      <c r="B49" s="135" t="s">
        <v>307</v>
      </c>
      <c r="C49" s="148" t="s">
        <v>343</v>
      </c>
      <c r="D49" s="135" t="s">
        <v>44</v>
      </c>
      <c r="E49" s="149">
        <v>1</v>
      </c>
      <c r="F49" s="21"/>
      <c r="G49" s="22"/>
    </row>
    <row r="50" spans="1:7">
      <c r="A50" s="147">
        <v>36</v>
      </c>
      <c r="B50" s="135" t="s">
        <v>307</v>
      </c>
      <c r="C50" s="151" t="s">
        <v>344</v>
      </c>
      <c r="D50" s="135" t="s">
        <v>44</v>
      </c>
      <c r="E50" s="152">
        <v>1</v>
      </c>
      <c r="F50" s="21"/>
      <c r="G50" s="22"/>
    </row>
    <row r="51" spans="1:7">
      <c r="A51" s="147">
        <v>37</v>
      </c>
      <c r="B51" s="135" t="s">
        <v>307</v>
      </c>
      <c r="C51" s="148" t="s">
        <v>345</v>
      </c>
      <c r="D51" s="135" t="s">
        <v>44</v>
      </c>
      <c r="E51" s="152">
        <v>1</v>
      </c>
      <c r="F51" s="21"/>
      <c r="G51" s="22"/>
    </row>
    <row r="52" spans="1:7">
      <c r="A52" s="147">
        <v>38</v>
      </c>
      <c r="B52" s="135" t="s">
        <v>307</v>
      </c>
      <c r="C52" s="148" t="s">
        <v>346</v>
      </c>
      <c r="D52" s="135" t="s">
        <v>44</v>
      </c>
      <c r="E52" s="149">
        <v>1</v>
      </c>
      <c r="F52" s="21"/>
      <c r="G52" s="22"/>
    </row>
    <row r="53" spans="1:7">
      <c r="A53" s="147">
        <v>39</v>
      </c>
      <c r="B53" s="135" t="s">
        <v>307</v>
      </c>
      <c r="C53" s="151" t="s">
        <v>347</v>
      </c>
      <c r="D53" s="135" t="s">
        <v>44</v>
      </c>
      <c r="E53" s="152">
        <v>1</v>
      </c>
      <c r="F53" s="21"/>
      <c r="G53" s="22"/>
    </row>
    <row r="54" spans="1:7">
      <c r="A54" s="147">
        <v>40</v>
      </c>
      <c r="B54" s="135" t="s">
        <v>307</v>
      </c>
      <c r="C54" s="142" t="s">
        <v>348</v>
      </c>
      <c r="D54" s="135" t="s">
        <v>44</v>
      </c>
      <c r="E54" s="153">
        <v>1</v>
      </c>
      <c r="F54" s="21"/>
      <c r="G54" s="22"/>
    </row>
    <row r="55" spans="1:7" ht="25.5">
      <c r="A55" s="147">
        <v>41</v>
      </c>
      <c r="B55" s="135" t="s">
        <v>307</v>
      </c>
      <c r="C55" s="148" t="s">
        <v>349</v>
      </c>
      <c r="D55" s="135" t="s">
        <v>44</v>
      </c>
      <c r="E55" s="154">
        <v>1</v>
      </c>
      <c r="F55" s="21"/>
      <c r="G55" s="22"/>
    </row>
    <row r="56" spans="1:7">
      <c r="A56" s="147"/>
      <c r="B56" s="135"/>
      <c r="C56" s="155" t="s">
        <v>350</v>
      </c>
      <c r="D56" s="156"/>
      <c r="E56" s="156"/>
      <c r="F56" s="21"/>
      <c r="G56" s="22"/>
    </row>
    <row r="57" spans="1:7" ht="24">
      <c r="A57" s="147">
        <v>1</v>
      </c>
      <c r="B57" s="135" t="s">
        <v>307</v>
      </c>
      <c r="C57" s="157" t="s">
        <v>335</v>
      </c>
      <c r="D57" s="135" t="s">
        <v>33</v>
      </c>
      <c r="E57" s="149">
        <v>30</v>
      </c>
      <c r="F57" s="21"/>
      <c r="G57" s="22"/>
    </row>
    <row r="58" spans="1:7">
      <c r="A58" s="147">
        <v>2</v>
      </c>
      <c r="B58" s="135" t="s">
        <v>307</v>
      </c>
      <c r="C58" s="158" t="s">
        <v>332</v>
      </c>
      <c r="D58" s="135" t="s">
        <v>321</v>
      </c>
      <c r="E58" s="149">
        <v>2</v>
      </c>
      <c r="F58" s="21"/>
      <c r="G58" s="22"/>
    </row>
    <row r="59" spans="1:7">
      <c r="A59" s="147">
        <v>3</v>
      </c>
      <c r="B59" s="135" t="s">
        <v>307</v>
      </c>
      <c r="C59" s="157" t="s">
        <v>339</v>
      </c>
      <c r="D59" s="135" t="s">
        <v>33</v>
      </c>
      <c r="E59" s="149">
        <v>32</v>
      </c>
      <c r="F59" s="21"/>
      <c r="G59" s="22"/>
    </row>
    <row r="60" spans="1:7" ht="24">
      <c r="A60" s="147">
        <v>4</v>
      </c>
      <c r="B60" s="135" t="s">
        <v>307</v>
      </c>
      <c r="C60" s="157" t="s">
        <v>342</v>
      </c>
      <c r="D60" s="135" t="s">
        <v>44</v>
      </c>
      <c r="E60" s="149">
        <v>1</v>
      </c>
      <c r="F60" s="21"/>
      <c r="G60" s="22"/>
    </row>
    <row r="61" spans="1:7">
      <c r="A61" s="147">
        <v>5</v>
      </c>
      <c r="B61" s="135" t="s">
        <v>307</v>
      </c>
      <c r="C61" s="157" t="s">
        <v>343</v>
      </c>
      <c r="D61" s="135" t="s">
        <v>44</v>
      </c>
      <c r="E61" s="149">
        <v>1</v>
      </c>
      <c r="F61" s="21"/>
      <c r="G61" s="22"/>
    </row>
    <row r="62" spans="1:7">
      <c r="A62" s="147">
        <v>6</v>
      </c>
      <c r="B62" s="135" t="s">
        <v>307</v>
      </c>
      <c r="C62" s="157" t="s">
        <v>346</v>
      </c>
      <c r="D62" s="135" t="s">
        <v>44</v>
      </c>
      <c r="E62" s="149">
        <v>1</v>
      </c>
      <c r="F62" s="21"/>
      <c r="G62" s="22"/>
    </row>
    <row r="63" spans="1:7">
      <c r="A63" s="147">
        <v>7</v>
      </c>
      <c r="B63" s="135" t="s">
        <v>307</v>
      </c>
      <c r="C63" s="159" t="s">
        <v>347</v>
      </c>
      <c r="D63" s="135" t="s">
        <v>44</v>
      </c>
      <c r="E63" s="152">
        <v>1</v>
      </c>
      <c r="F63" s="21"/>
      <c r="G63" s="22"/>
    </row>
    <row r="64" spans="1:7">
      <c r="A64" s="147">
        <v>8</v>
      </c>
      <c r="B64" s="135" t="s">
        <v>307</v>
      </c>
      <c r="C64" s="160" t="s">
        <v>348</v>
      </c>
      <c r="D64" s="135" t="s">
        <v>44</v>
      </c>
      <c r="E64" s="153">
        <v>1</v>
      </c>
      <c r="F64" s="21"/>
      <c r="G64" s="22"/>
    </row>
    <row r="65" spans="1:7" ht="24">
      <c r="A65" s="147">
        <v>9</v>
      </c>
      <c r="B65" s="135" t="s">
        <v>307</v>
      </c>
      <c r="C65" s="157" t="s">
        <v>349</v>
      </c>
      <c r="D65" s="135" t="s">
        <v>44</v>
      </c>
      <c r="E65" s="154">
        <v>1</v>
      </c>
      <c r="F65" s="21"/>
      <c r="G65" s="22"/>
    </row>
    <row r="66" spans="1:7" s="17" customFormat="1">
      <c r="A66" s="28"/>
      <c r="B66" s="29"/>
      <c r="C66" s="30"/>
      <c r="D66" s="31"/>
      <c r="E66" s="12"/>
      <c r="F66" s="12"/>
      <c r="G66" s="32"/>
    </row>
    <row r="67" spans="1:7" ht="15">
      <c r="A67" s="13"/>
      <c r="B67" s="13"/>
      <c r="C67" s="18"/>
      <c r="D67" s="19"/>
      <c r="E67" s="18"/>
      <c r="F67" s="18" t="s">
        <v>6</v>
      </c>
      <c r="G67" s="20"/>
    </row>
    <row r="69" spans="1:7" s="25" customFormat="1" ht="12.75" customHeight="1">
      <c r="B69" s="26" t="str">
        <f>'1,1'!B32</f>
        <v>Piezīmes:</v>
      </c>
    </row>
    <row r="70" spans="1:7" s="25" customFormat="1" ht="45" customHeight="1">
      <c r="A70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0" s="546"/>
      <c r="C70" s="546"/>
      <c r="D70" s="546"/>
      <c r="E70" s="546"/>
      <c r="F70" s="546"/>
      <c r="G70" s="546"/>
    </row>
    <row r="71" spans="1:7" s="25" customFormat="1" ht="12.75" customHeight="1">
      <c r="A71" s="546">
        <f>'1,1'!$A$34</f>
        <v>0</v>
      </c>
      <c r="B71" s="546"/>
      <c r="C71" s="546"/>
      <c r="D71" s="546"/>
      <c r="E71" s="546"/>
      <c r="F71" s="546"/>
      <c r="G71" s="546"/>
    </row>
    <row r="72" spans="1:7" s="25" customFormat="1" ht="12.75" customHeight="1">
      <c r="B72" s="27"/>
    </row>
    <row r="73" spans="1:7">
      <c r="B73" s="5" t="str">
        <f>'1,1'!B36</f>
        <v>Sastādīja:</v>
      </c>
    </row>
    <row r="74" spans="1:7" ht="14.25" customHeight="1">
      <c r="C74" s="33" t="str">
        <f>'1,1'!C37</f>
        <v>Arnis Gailītis</v>
      </c>
    </row>
    <row r="75" spans="1:7">
      <c r="C75" s="34" t="str">
        <f>'1,1'!C38</f>
        <v>Sertifikāta Nr.20-5643</v>
      </c>
      <c r="D75" s="35"/>
    </row>
    <row r="78" spans="1:7">
      <c r="B78" s="40" t="str">
        <f>'1,1'!B41</f>
        <v>Pārbaudīja:</v>
      </c>
      <c r="C78" s="3"/>
    </row>
    <row r="79" spans="1:7">
      <c r="B79" s="2"/>
      <c r="C79" s="33" t="str">
        <f>'1,1'!C42</f>
        <v>Aivars Mauriņš</v>
      </c>
    </row>
    <row r="80" spans="1:7">
      <c r="B80" s="1"/>
      <c r="C80" s="34" t="str">
        <f>'1,1'!C43</f>
        <v>Sertifikāta Nr.20-5957</v>
      </c>
    </row>
  </sheetData>
  <mergeCells count="15">
    <mergeCell ref="A71:G71"/>
    <mergeCell ref="A70:G7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3"/>
  <sheetViews>
    <sheetView showZeros="0" view="pageBreakPreview" topLeftCell="A19" zoomScale="80" zoomScaleNormal="100" zoomScaleSheetLayoutView="80" workbookViewId="0">
      <selection activeCell="A13" sqref="A13:E68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2.4</v>
      </c>
      <c r="E1" s="36"/>
      <c r="F1" s="36"/>
      <c r="G1" s="36"/>
    </row>
    <row r="2" spans="1:7" s="9" customFormat="1" ht="15">
      <c r="A2" s="549" t="str">
        <f>C13</f>
        <v>Ventilācija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118"/>
      <c r="B13" s="131">
        <v>0</v>
      </c>
      <c r="C13" s="93" t="str">
        <f>[2]kops2!C24</f>
        <v>Ventilācija</v>
      </c>
      <c r="D13" s="143"/>
      <c r="E13" s="144"/>
      <c r="F13" s="23"/>
      <c r="G13" s="24"/>
    </row>
    <row r="14" spans="1:7" ht="25.5">
      <c r="A14" s="134"/>
      <c r="B14" s="135"/>
      <c r="C14" s="161" t="s">
        <v>351</v>
      </c>
      <c r="D14" s="162"/>
      <c r="E14" s="162"/>
      <c r="F14" s="21"/>
      <c r="G14" s="22"/>
    </row>
    <row r="15" spans="1:7">
      <c r="A15" s="121"/>
      <c r="B15" s="135"/>
      <c r="C15" s="135"/>
      <c r="D15" s="163"/>
      <c r="E15" s="120"/>
      <c r="F15" s="21"/>
      <c r="G15" s="22"/>
    </row>
    <row r="16" spans="1:7">
      <c r="A16" s="147"/>
      <c r="B16" s="135"/>
      <c r="C16" s="164" t="s">
        <v>352</v>
      </c>
      <c r="D16" s="135"/>
      <c r="E16" s="120"/>
      <c r="F16" s="21"/>
      <c r="G16" s="22"/>
    </row>
    <row r="17" spans="1:7" ht="178.5">
      <c r="A17" s="147">
        <v>1</v>
      </c>
      <c r="B17" s="135" t="s">
        <v>307</v>
      </c>
      <c r="C17" s="148" t="s">
        <v>353</v>
      </c>
      <c r="D17" s="165" t="s">
        <v>44</v>
      </c>
      <c r="E17" s="165">
        <v>1</v>
      </c>
      <c r="F17" s="21"/>
      <c r="G17" s="22"/>
    </row>
    <row r="18" spans="1:7">
      <c r="A18" s="147">
        <v>2</v>
      </c>
      <c r="B18" s="135" t="s">
        <v>307</v>
      </c>
      <c r="C18" s="148" t="s">
        <v>354</v>
      </c>
      <c r="D18" s="165" t="s">
        <v>321</v>
      </c>
      <c r="E18" s="135">
        <v>43</v>
      </c>
      <c r="F18" s="21"/>
      <c r="G18" s="22"/>
    </row>
    <row r="19" spans="1:7">
      <c r="A19" s="147">
        <v>3</v>
      </c>
      <c r="B19" s="135" t="s">
        <v>307</v>
      </c>
      <c r="C19" s="148" t="s">
        <v>355</v>
      </c>
      <c r="D19" s="165" t="s">
        <v>321</v>
      </c>
      <c r="E19" s="135">
        <v>8</v>
      </c>
      <c r="F19" s="21"/>
      <c r="G19" s="22"/>
    </row>
    <row r="20" spans="1:7">
      <c r="A20" s="147">
        <v>4</v>
      </c>
      <c r="B20" s="135" t="s">
        <v>307</v>
      </c>
      <c r="C20" s="148" t="s">
        <v>356</v>
      </c>
      <c r="D20" s="165" t="s">
        <v>321</v>
      </c>
      <c r="E20" s="135">
        <v>11</v>
      </c>
      <c r="F20" s="21"/>
      <c r="G20" s="22"/>
    </row>
    <row r="21" spans="1:7">
      <c r="A21" s="147">
        <v>5</v>
      </c>
      <c r="B21" s="135" t="s">
        <v>307</v>
      </c>
      <c r="C21" s="148" t="s">
        <v>357</v>
      </c>
      <c r="D21" s="165" t="s">
        <v>321</v>
      </c>
      <c r="E21" s="135">
        <v>3</v>
      </c>
      <c r="F21" s="21"/>
      <c r="G21" s="22"/>
    </row>
    <row r="22" spans="1:7">
      <c r="A22" s="147">
        <v>6</v>
      </c>
      <c r="B22" s="135" t="s">
        <v>307</v>
      </c>
      <c r="C22" s="148" t="s">
        <v>358</v>
      </c>
      <c r="D22" s="165" t="s">
        <v>321</v>
      </c>
      <c r="E22" s="135">
        <v>8</v>
      </c>
      <c r="F22" s="21"/>
      <c r="G22" s="22"/>
    </row>
    <row r="23" spans="1:7">
      <c r="A23" s="147">
        <v>7</v>
      </c>
      <c r="B23" s="135" t="s">
        <v>307</v>
      </c>
      <c r="C23" s="148" t="s">
        <v>359</v>
      </c>
      <c r="D23" s="165" t="s">
        <v>321</v>
      </c>
      <c r="E23" s="135">
        <v>1</v>
      </c>
      <c r="F23" s="21"/>
      <c r="G23" s="22"/>
    </row>
    <row r="24" spans="1:7">
      <c r="A24" s="147">
        <v>8</v>
      </c>
      <c r="B24" s="135" t="s">
        <v>307</v>
      </c>
      <c r="C24" s="148" t="s">
        <v>360</v>
      </c>
      <c r="D24" s="165" t="s">
        <v>321</v>
      </c>
      <c r="E24" s="135">
        <v>1</v>
      </c>
      <c r="F24" s="21"/>
      <c r="G24" s="22"/>
    </row>
    <row r="25" spans="1:7">
      <c r="A25" s="147">
        <v>9</v>
      </c>
      <c r="B25" s="135" t="s">
        <v>307</v>
      </c>
      <c r="C25" s="148" t="s">
        <v>361</v>
      </c>
      <c r="D25" s="165" t="s">
        <v>321</v>
      </c>
      <c r="E25" s="135">
        <v>1</v>
      </c>
      <c r="F25" s="21"/>
      <c r="G25" s="22"/>
    </row>
    <row r="26" spans="1:7">
      <c r="A26" s="147">
        <v>10</v>
      </c>
      <c r="B26" s="135" t="s">
        <v>307</v>
      </c>
      <c r="C26" s="148" t="s">
        <v>362</v>
      </c>
      <c r="D26" s="165" t="s">
        <v>321</v>
      </c>
      <c r="E26" s="135">
        <v>2</v>
      </c>
      <c r="F26" s="21"/>
      <c r="G26" s="22"/>
    </row>
    <row r="27" spans="1:7">
      <c r="A27" s="147">
        <v>11</v>
      </c>
      <c r="B27" s="135" t="s">
        <v>307</v>
      </c>
      <c r="C27" s="148" t="s">
        <v>363</v>
      </c>
      <c r="D27" s="165" t="s">
        <v>321</v>
      </c>
      <c r="E27" s="135">
        <v>5</v>
      </c>
      <c r="F27" s="21"/>
      <c r="G27" s="22"/>
    </row>
    <row r="28" spans="1:7">
      <c r="A28" s="147">
        <v>12</v>
      </c>
      <c r="B28" s="135" t="s">
        <v>307</v>
      </c>
      <c r="C28" s="148" t="s">
        <v>364</v>
      </c>
      <c r="D28" s="165" t="s">
        <v>321</v>
      </c>
      <c r="E28" s="135">
        <v>3</v>
      </c>
      <c r="F28" s="21"/>
      <c r="G28" s="22"/>
    </row>
    <row r="29" spans="1:7">
      <c r="A29" s="147">
        <v>13</v>
      </c>
      <c r="B29" s="135" t="s">
        <v>307</v>
      </c>
      <c r="C29" s="148" t="s">
        <v>365</v>
      </c>
      <c r="D29" s="165" t="s">
        <v>321</v>
      </c>
      <c r="E29" s="135">
        <v>1</v>
      </c>
      <c r="F29" s="21"/>
      <c r="G29" s="22"/>
    </row>
    <row r="30" spans="1:7">
      <c r="A30" s="147">
        <v>14</v>
      </c>
      <c r="B30" s="135" t="s">
        <v>307</v>
      </c>
      <c r="C30" s="148" t="s">
        <v>366</v>
      </c>
      <c r="D30" s="165" t="s">
        <v>321</v>
      </c>
      <c r="E30" s="135">
        <v>3</v>
      </c>
      <c r="F30" s="21"/>
      <c r="G30" s="22"/>
    </row>
    <row r="31" spans="1:7">
      <c r="A31" s="147">
        <v>15</v>
      </c>
      <c r="B31" s="135" t="s">
        <v>307</v>
      </c>
      <c r="C31" s="148" t="s">
        <v>367</v>
      </c>
      <c r="D31" s="165" t="s">
        <v>321</v>
      </c>
      <c r="E31" s="135">
        <v>1</v>
      </c>
      <c r="F31" s="21"/>
      <c r="G31" s="22"/>
    </row>
    <row r="32" spans="1:7">
      <c r="A32" s="147">
        <v>16</v>
      </c>
      <c r="B32" s="135" t="s">
        <v>307</v>
      </c>
      <c r="C32" s="148" t="s">
        <v>368</v>
      </c>
      <c r="D32" s="165" t="s">
        <v>321</v>
      </c>
      <c r="E32" s="135">
        <v>10</v>
      </c>
      <c r="F32" s="21"/>
      <c r="G32" s="22"/>
    </row>
    <row r="33" spans="1:7">
      <c r="A33" s="147">
        <v>17</v>
      </c>
      <c r="B33" s="135" t="s">
        <v>307</v>
      </c>
      <c r="C33" s="148" t="s">
        <v>369</v>
      </c>
      <c r="D33" s="165" t="s">
        <v>321</v>
      </c>
      <c r="E33" s="135">
        <v>5</v>
      </c>
      <c r="F33" s="21"/>
      <c r="G33" s="22"/>
    </row>
    <row r="34" spans="1:7">
      <c r="A34" s="147">
        <v>18</v>
      </c>
      <c r="B34" s="135" t="s">
        <v>307</v>
      </c>
      <c r="C34" s="148" t="s">
        <v>370</v>
      </c>
      <c r="D34" s="165" t="s">
        <v>321</v>
      </c>
      <c r="E34" s="135">
        <v>8</v>
      </c>
      <c r="F34" s="21"/>
      <c r="G34" s="22"/>
    </row>
    <row r="35" spans="1:7">
      <c r="A35" s="147">
        <v>19</v>
      </c>
      <c r="B35" s="135" t="s">
        <v>307</v>
      </c>
      <c r="C35" s="148" t="s">
        <v>371</v>
      </c>
      <c r="D35" s="165" t="s">
        <v>321</v>
      </c>
      <c r="E35" s="135">
        <v>17</v>
      </c>
      <c r="F35" s="21"/>
      <c r="G35" s="22"/>
    </row>
    <row r="36" spans="1:7">
      <c r="A36" s="147">
        <v>20</v>
      </c>
      <c r="B36" s="135" t="s">
        <v>307</v>
      </c>
      <c r="C36" s="148" t="s">
        <v>372</v>
      </c>
      <c r="D36" s="165" t="s">
        <v>321</v>
      </c>
      <c r="E36" s="135">
        <v>32</v>
      </c>
      <c r="F36" s="21"/>
      <c r="G36" s="22"/>
    </row>
    <row r="37" spans="1:7">
      <c r="A37" s="147">
        <v>21</v>
      </c>
      <c r="B37" s="135" t="s">
        <v>307</v>
      </c>
      <c r="C37" s="148" t="s">
        <v>373</v>
      </c>
      <c r="D37" s="165" t="s">
        <v>321</v>
      </c>
      <c r="E37" s="135">
        <v>5</v>
      </c>
      <c r="F37" s="21"/>
      <c r="G37" s="22"/>
    </row>
    <row r="38" spans="1:7">
      <c r="A38" s="147">
        <v>22</v>
      </c>
      <c r="B38" s="135" t="s">
        <v>307</v>
      </c>
      <c r="C38" s="148" t="s">
        <v>374</v>
      </c>
      <c r="D38" s="165" t="s">
        <v>321</v>
      </c>
      <c r="E38" s="135">
        <v>5</v>
      </c>
      <c r="F38" s="21"/>
      <c r="G38" s="22"/>
    </row>
    <row r="39" spans="1:7">
      <c r="A39" s="147">
        <v>23</v>
      </c>
      <c r="B39" s="135" t="s">
        <v>307</v>
      </c>
      <c r="C39" s="148" t="s">
        <v>375</v>
      </c>
      <c r="D39" s="165" t="s">
        <v>321</v>
      </c>
      <c r="E39" s="135">
        <v>2</v>
      </c>
      <c r="F39" s="21"/>
      <c r="G39" s="22"/>
    </row>
    <row r="40" spans="1:7">
      <c r="A40" s="147">
        <v>24</v>
      </c>
      <c r="B40" s="135" t="s">
        <v>307</v>
      </c>
      <c r="C40" s="148" t="s">
        <v>376</v>
      </c>
      <c r="D40" s="165" t="s">
        <v>321</v>
      </c>
      <c r="E40" s="135">
        <v>7</v>
      </c>
      <c r="F40" s="21"/>
      <c r="G40" s="22"/>
    </row>
    <row r="41" spans="1:7">
      <c r="A41" s="147">
        <v>25</v>
      </c>
      <c r="B41" s="135" t="s">
        <v>307</v>
      </c>
      <c r="C41" s="148" t="s">
        <v>377</v>
      </c>
      <c r="D41" s="165" t="s">
        <v>321</v>
      </c>
      <c r="E41" s="135">
        <v>1</v>
      </c>
      <c r="F41" s="21"/>
      <c r="G41" s="22"/>
    </row>
    <row r="42" spans="1:7">
      <c r="A42" s="147">
        <v>26</v>
      </c>
      <c r="B42" s="135" t="s">
        <v>307</v>
      </c>
      <c r="C42" s="148" t="s">
        <v>378</v>
      </c>
      <c r="D42" s="165" t="s">
        <v>321</v>
      </c>
      <c r="E42" s="135">
        <v>1</v>
      </c>
      <c r="F42" s="21"/>
      <c r="G42" s="22"/>
    </row>
    <row r="43" spans="1:7" ht="25.5">
      <c r="A43" s="147">
        <v>27</v>
      </c>
      <c r="B43" s="135" t="s">
        <v>307</v>
      </c>
      <c r="C43" s="148" t="s">
        <v>379</v>
      </c>
      <c r="D43" s="165" t="s">
        <v>321</v>
      </c>
      <c r="E43" s="135">
        <v>4</v>
      </c>
      <c r="F43" s="21"/>
      <c r="G43" s="22"/>
    </row>
    <row r="44" spans="1:7" ht="25.5">
      <c r="A44" s="147">
        <v>28</v>
      </c>
      <c r="B44" s="135" t="s">
        <v>307</v>
      </c>
      <c r="C44" s="148" t="s">
        <v>380</v>
      </c>
      <c r="D44" s="165" t="s">
        <v>321</v>
      </c>
      <c r="E44" s="135">
        <v>1</v>
      </c>
      <c r="F44" s="21"/>
      <c r="G44" s="22"/>
    </row>
    <row r="45" spans="1:7" ht="25.5">
      <c r="A45" s="147">
        <v>29</v>
      </c>
      <c r="B45" s="135" t="s">
        <v>307</v>
      </c>
      <c r="C45" s="148" t="s">
        <v>381</v>
      </c>
      <c r="D45" s="165" t="s">
        <v>321</v>
      </c>
      <c r="E45" s="135">
        <v>1</v>
      </c>
      <c r="F45" s="21"/>
      <c r="G45" s="22"/>
    </row>
    <row r="46" spans="1:7">
      <c r="A46" s="147">
        <v>30</v>
      </c>
      <c r="B46" s="135" t="s">
        <v>307</v>
      </c>
      <c r="C46" s="148" t="s">
        <v>382</v>
      </c>
      <c r="D46" s="165" t="s">
        <v>321</v>
      </c>
      <c r="E46" s="135">
        <v>1</v>
      </c>
      <c r="F46" s="21"/>
      <c r="G46" s="22"/>
    </row>
    <row r="47" spans="1:7">
      <c r="A47" s="147">
        <v>31</v>
      </c>
      <c r="B47" s="135" t="s">
        <v>307</v>
      </c>
      <c r="C47" s="148" t="s">
        <v>383</v>
      </c>
      <c r="D47" s="165" t="s">
        <v>321</v>
      </c>
      <c r="E47" s="135">
        <v>1</v>
      </c>
      <c r="F47" s="21"/>
      <c r="G47" s="22"/>
    </row>
    <row r="48" spans="1:7">
      <c r="A48" s="147">
        <v>32</v>
      </c>
      <c r="B48" s="135" t="s">
        <v>307</v>
      </c>
      <c r="C48" s="148" t="s">
        <v>384</v>
      </c>
      <c r="D48" s="165" t="s">
        <v>33</v>
      </c>
      <c r="E48" s="135">
        <v>120</v>
      </c>
      <c r="F48" s="21"/>
      <c r="G48" s="22"/>
    </row>
    <row r="49" spans="1:7">
      <c r="A49" s="147">
        <v>33</v>
      </c>
      <c r="B49" s="135" t="s">
        <v>307</v>
      </c>
      <c r="C49" s="148" t="s">
        <v>385</v>
      </c>
      <c r="D49" s="165" t="s">
        <v>33</v>
      </c>
      <c r="E49" s="135">
        <v>60</v>
      </c>
      <c r="F49" s="21"/>
      <c r="G49" s="22"/>
    </row>
    <row r="50" spans="1:7">
      <c r="A50" s="147">
        <v>34</v>
      </c>
      <c r="B50" s="135" t="s">
        <v>307</v>
      </c>
      <c r="C50" s="148" t="s">
        <v>386</v>
      </c>
      <c r="D50" s="165" t="s">
        <v>33</v>
      </c>
      <c r="E50" s="135">
        <v>80</v>
      </c>
      <c r="F50" s="21"/>
      <c r="G50" s="22"/>
    </row>
    <row r="51" spans="1:7">
      <c r="A51" s="147">
        <v>35</v>
      </c>
      <c r="B51" s="135" t="s">
        <v>307</v>
      </c>
      <c r="C51" s="148" t="s">
        <v>387</v>
      </c>
      <c r="D51" s="165" t="s">
        <v>33</v>
      </c>
      <c r="E51" s="135">
        <v>53</v>
      </c>
      <c r="F51" s="21"/>
      <c r="G51" s="22"/>
    </row>
    <row r="52" spans="1:7">
      <c r="A52" s="147">
        <v>36</v>
      </c>
      <c r="B52" s="135" t="s">
        <v>307</v>
      </c>
      <c r="C52" s="148" t="s">
        <v>388</v>
      </c>
      <c r="D52" s="165" t="s">
        <v>33</v>
      </c>
      <c r="E52" s="135">
        <v>107</v>
      </c>
      <c r="F52" s="21"/>
      <c r="G52" s="22"/>
    </row>
    <row r="53" spans="1:7">
      <c r="A53" s="147">
        <v>37</v>
      </c>
      <c r="B53" s="135" t="s">
        <v>307</v>
      </c>
      <c r="C53" s="148" t="s">
        <v>389</v>
      </c>
      <c r="D53" s="165" t="s">
        <v>33</v>
      </c>
      <c r="E53" s="135">
        <v>1</v>
      </c>
      <c r="F53" s="21"/>
      <c r="G53" s="22"/>
    </row>
    <row r="54" spans="1:7">
      <c r="A54" s="147">
        <v>38</v>
      </c>
      <c r="B54" s="135" t="s">
        <v>307</v>
      </c>
      <c r="C54" s="148" t="s">
        <v>390</v>
      </c>
      <c r="D54" s="165" t="s">
        <v>33</v>
      </c>
      <c r="E54" s="135">
        <v>1</v>
      </c>
      <c r="F54" s="21"/>
      <c r="G54" s="22"/>
    </row>
    <row r="55" spans="1:7">
      <c r="A55" s="147">
        <v>39</v>
      </c>
      <c r="B55" s="135" t="s">
        <v>307</v>
      </c>
      <c r="C55" s="148" t="s">
        <v>391</v>
      </c>
      <c r="D55" s="165" t="s">
        <v>33</v>
      </c>
      <c r="E55" s="135">
        <v>10</v>
      </c>
      <c r="F55" s="21"/>
      <c r="G55" s="22"/>
    </row>
    <row r="56" spans="1:7">
      <c r="A56" s="147">
        <v>40</v>
      </c>
      <c r="B56" s="135" t="s">
        <v>307</v>
      </c>
      <c r="C56" s="148" t="s">
        <v>392</v>
      </c>
      <c r="D56" s="165" t="s">
        <v>33</v>
      </c>
      <c r="E56" s="135">
        <v>17</v>
      </c>
      <c r="F56" s="21"/>
      <c r="G56" s="22"/>
    </row>
    <row r="57" spans="1:7">
      <c r="A57" s="147">
        <v>41</v>
      </c>
      <c r="B57" s="135" t="s">
        <v>307</v>
      </c>
      <c r="C57" s="148" t="s">
        <v>393</v>
      </c>
      <c r="D57" s="165" t="s">
        <v>33</v>
      </c>
      <c r="E57" s="135">
        <v>1</v>
      </c>
      <c r="F57" s="21"/>
      <c r="G57" s="22"/>
    </row>
    <row r="58" spans="1:7">
      <c r="A58" s="147">
        <v>42</v>
      </c>
      <c r="B58" s="135" t="s">
        <v>307</v>
      </c>
      <c r="C58" s="148" t="s">
        <v>394</v>
      </c>
      <c r="D58" s="165" t="s">
        <v>33</v>
      </c>
      <c r="E58" s="135">
        <v>12</v>
      </c>
      <c r="F58" s="21"/>
      <c r="G58" s="22"/>
    </row>
    <row r="59" spans="1:7">
      <c r="A59" s="147">
        <v>43</v>
      </c>
      <c r="B59" s="135" t="s">
        <v>307</v>
      </c>
      <c r="C59" s="148" t="s">
        <v>395</v>
      </c>
      <c r="D59" s="165" t="s">
        <v>33</v>
      </c>
      <c r="E59" s="135">
        <v>9</v>
      </c>
      <c r="F59" s="21"/>
      <c r="G59" s="22"/>
    </row>
    <row r="60" spans="1:7">
      <c r="A60" s="147">
        <v>44</v>
      </c>
      <c r="B60" s="135" t="s">
        <v>307</v>
      </c>
      <c r="C60" s="148" t="s">
        <v>396</v>
      </c>
      <c r="D60" s="165" t="s">
        <v>33</v>
      </c>
      <c r="E60" s="135">
        <v>5</v>
      </c>
      <c r="F60" s="21"/>
      <c r="G60" s="22"/>
    </row>
    <row r="61" spans="1:7">
      <c r="A61" s="147">
        <v>45</v>
      </c>
      <c r="B61" s="135" t="s">
        <v>307</v>
      </c>
      <c r="C61" s="148" t="s">
        <v>397</v>
      </c>
      <c r="D61" s="165" t="s">
        <v>44</v>
      </c>
      <c r="E61" s="135">
        <v>13</v>
      </c>
      <c r="F61" s="21"/>
      <c r="G61" s="22"/>
    </row>
    <row r="62" spans="1:7" ht="25.5">
      <c r="A62" s="147">
        <v>46</v>
      </c>
      <c r="B62" s="135" t="s">
        <v>307</v>
      </c>
      <c r="C62" s="148" t="s">
        <v>398</v>
      </c>
      <c r="D62" s="165" t="s">
        <v>399</v>
      </c>
      <c r="E62" s="166">
        <v>24</v>
      </c>
      <c r="F62" s="21"/>
      <c r="G62" s="22"/>
    </row>
    <row r="63" spans="1:7">
      <c r="A63" s="147">
        <v>47</v>
      </c>
      <c r="B63" s="135" t="s">
        <v>307</v>
      </c>
      <c r="C63" s="148" t="s">
        <v>1140</v>
      </c>
      <c r="D63" s="165" t="s">
        <v>44</v>
      </c>
      <c r="E63" s="166">
        <v>1</v>
      </c>
      <c r="F63" s="21"/>
      <c r="G63" s="22"/>
    </row>
    <row r="64" spans="1:7">
      <c r="A64" s="147">
        <v>48</v>
      </c>
      <c r="B64" s="135" t="s">
        <v>307</v>
      </c>
      <c r="C64" s="151" t="s">
        <v>347</v>
      </c>
      <c r="D64" s="165" t="s">
        <v>44</v>
      </c>
      <c r="E64" s="135">
        <v>1</v>
      </c>
      <c r="F64" s="21"/>
      <c r="G64" s="22"/>
    </row>
    <row r="65" spans="1:7">
      <c r="A65" s="147">
        <v>49</v>
      </c>
      <c r="B65" s="135" t="s">
        <v>307</v>
      </c>
      <c r="C65" s="167" t="s">
        <v>400</v>
      </c>
      <c r="D65" s="165" t="s">
        <v>44</v>
      </c>
      <c r="E65" s="166">
        <v>1</v>
      </c>
      <c r="F65" s="21"/>
      <c r="G65" s="22"/>
    </row>
    <row r="66" spans="1:7">
      <c r="A66" s="147">
        <v>50</v>
      </c>
      <c r="B66" s="135" t="s">
        <v>307</v>
      </c>
      <c r="C66" s="167" t="s">
        <v>401</v>
      </c>
      <c r="D66" s="165" t="s">
        <v>44</v>
      </c>
      <c r="E66" s="166">
        <v>1</v>
      </c>
      <c r="F66" s="21"/>
      <c r="G66" s="22"/>
    </row>
    <row r="67" spans="1:7">
      <c r="A67" s="147">
        <v>51</v>
      </c>
      <c r="B67" s="135" t="s">
        <v>307</v>
      </c>
      <c r="C67" s="148" t="s">
        <v>402</v>
      </c>
      <c r="D67" s="165" t="s">
        <v>44</v>
      </c>
      <c r="E67" s="166">
        <v>1</v>
      </c>
      <c r="F67" s="21"/>
      <c r="G67" s="22"/>
    </row>
    <row r="68" spans="1:7">
      <c r="A68" s="147">
        <v>52</v>
      </c>
      <c r="B68" s="135" t="s">
        <v>307</v>
      </c>
      <c r="C68" s="148" t="s">
        <v>403</v>
      </c>
      <c r="D68" s="165" t="s">
        <v>44</v>
      </c>
      <c r="E68" s="166">
        <v>1</v>
      </c>
      <c r="F68" s="21"/>
      <c r="G68" s="22"/>
    </row>
    <row r="69" spans="1:7" s="17" customFormat="1">
      <c r="A69" s="28"/>
      <c r="B69" s="29"/>
      <c r="C69" s="30"/>
      <c r="D69" s="31"/>
      <c r="E69" s="12"/>
      <c r="F69" s="12"/>
      <c r="G69" s="32"/>
    </row>
    <row r="70" spans="1:7" ht="15">
      <c r="A70" s="13"/>
      <c r="B70" s="13"/>
      <c r="C70" s="18"/>
      <c r="D70" s="19"/>
      <c r="E70" s="18"/>
      <c r="F70" s="18" t="s">
        <v>6</v>
      </c>
      <c r="G70" s="20"/>
    </row>
    <row r="72" spans="1:7" s="25" customFormat="1" ht="12.75" customHeight="1">
      <c r="B72" s="26" t="str">
        <f>'1,1'!B32</f>
        <v>Piezīmes:</v>
      </c>
    </row>
    <row r="73" spans="1:7" s="25" customFormat="1" ht="45" customHeight="1">
      <c r="A73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3" s="546"/>
      <c r="C73" s="546"/>
      <c r="D73" s="546"/>
      <c r="E73" s="546"/>
      <c r="F73" s="546"/>
      <c r="G73" s="546"/>
    </row>
    <row r="74" spans="1:7" s="25" customFormat="1" ht="12.75" customHeight="1">
      <c r="A74" s="546">
        <f>'1,1'!$A$34</f>
        <v>0</v>
      </c>
      <c r="B74" s="546"/>
      <c r="C74" s="546"/>
      <c r="D74" s="546"/>
      <c r="E74" s="546"/>
      <c r="F74" s="546"/>
      <c r="G74" s="546"/>
    </row>
    <row r="75" spans="1:7" s="25" customFormat="1" ht="12.75" customHeight="1">
      <c r="B75" s="27"/>
    </row>
    <row r="76" spans="1:7">
      <c r="B76" s="5" t="str">
        <f>'1,1'!B36</f>
        <v>Sastādīja:</v>
      </c>
    </row>
    <row r="77" spans="1:7" ht="14.25" customHeight="1">
      <c r="C77" s="33" t="str">
        <f>'1,1'!C37</f>
        <v>Arnis Gailītis</v>
      </c>
    </row>
    <row r="78" spans="1:7">
      <c r="C78" s="34" t="str">
        <f>'1,1'!C38</f>
        <v>Sertifikāta Nr.20-5643</v>
      </c>
      <c r="D78" s="35"/>
    </row>
    <row r="81" spans="2:3">
      <c r="B81" s="40" t="str">
        <f>'1,1'!B41</f>
        <v>Pārbaudīja:</v>
      </c>
      <c r="C81" s="3"/>
    </row>
    <row r="82" spans="2:3">
      <c r="B82" s="2"/>
      <c r="C82" s="33" t="str">
        <f>'1,1'!C42</f>
        <v>Aivars Mauriņš</v>
      </c>
    </row>
    <row r="83" spans="2:3">
      <c r="B83" s="1"/>
      <c r="C83" s="34" t="str">
        <f>'1,1'!C43</f>
        <v>Sertifikāta Nr.20-5957</v>
      </c>
    </row>
  </sheetData>
  <mergeCells count="15">
    <mergeCell ref="A74:G74"/>
    <mergeCell ref="A73:G73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5"/>
  <sheetViews>
    <sheetView showZeros="0" view="pageBreakPreview" topLeftCell="A37" zoomScale="80" zoomScaleNormal="100" zoomScaleSheetLayoutView="80" workbookViewId="0">
      <selection activeCell="A13" sqref="A13:E70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2.5</v>
      </c>
      <c r="E1" s="36"/>
      <c r="F1" s="36"/>
      <c r="G1" s="36"/>
    </row>
    <row r="2" spans="1:7" s="9" customFormat="1" ht="15">
      <c r="A2" s="549" t="str">
        <f>C13</f>
        <v>Siltuma mezgls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118"/>
      <c r="B13" s="131">
        <v>0</v>
      </c>
      <c r="C13" s="93" t="str">
        <f>[2]kops2!C25</f>
        <v>Siltuma mezgls</v>
      </c>
      <c r="D13" s="143"/>
      <c r="E13" s="144"/>
      <c r="F13" s="23"/>
      <c r="G13" s="24"/>
    </row>
    <row r="14" spans="1:7" ht="25.5">
      <c r="A14" s="134"/>
      <c r="B14" s="135"/>
      <c r="C14" s="145" t="s">
        <v>404</v>
      </c>
      <c r="D14" s="146"/>
      <c r="E14" s="146"/>
      <c r="F14" s="21"/>
      <c r="G14" s="22"/>
    </row>
    <row r="15" spans="1:7" ht="51">
      <c r="A15" s="147">
        <v>1</v>
      </c>
      <c r="B15" s="135" t="s">
        <v>307</v>
      </c>
      <c r="C15" s="151" t="s">
        <v>405</v>
      </c>
      <c r="D15" s="135" t="s">
        <v>44</v>
      </c>
      <c r="E15" s="135">
        <v>1</v>
      </c>
      <c r="F15" s="21"/>
      <c r="G15" s="22"/>
    </row>
    <row r="16" spans="1:7" ht="25.5">
      <c r="A16" s="147">
        <v>2</v>
      </c>
      <c r="B16" s="135" t="s">
        <v>307</v>
      </c>
      <c r="C16" s="151" t="s">
        <v>406</v>
      </c>
      <c r="D16" s="135" t="s">
        <v>44</v>
      </c>
      <c r="E16" s="135">
        <v>1</v>
      </c>
      <c r="F16" s="21"/>
      <c r="G16" s="22"/>
    </row>
    <row r="17" spans="1:7" ht="25.5">
      <c r="A17" s="147">
        <v>3</v>
      </c>
      <c r="B17" s="135" t="s">
        <v>307</v>
      </c>
      <c r="C17" s="151" t="s">
        <v>407</v>
      </c>
      <c r="D17" s="135" t="s">
        <v>44</v>
      </c>
      <c r="E17" s="135">
        <v>1</v>
      </c>
      <c r="F17" s="21"/>
      <c r="G17" s="22"/>
    </row>
    <row r="18" spans="1:7" ht="25.5">
      <c r="A18" s="147">
        <v>4</v>
      </c>
      <c r="B18" s="135" t="s">
        <v>307</v>
      </c>
      <c r="C18" s="151" t="s">
        <v>408</v>
      </c>
      <c r="D18" s="135" t="s">
        <v>44</v>
      </c>
      <c r="E18" s="135">
        <v>1</v>
      </c>
      <c r="F18" s="21"/>
      <c r="G18" s="22"/>
    </row>
    <row r="19" spans="1:7" ht="25.5">
      <c r="A19" s="147">
        <v>5</v>
      </c>
      <c r="B19" s="135" t="s">
        <v>307</v>
      </c>
      <c r="C19" s="151" t="s">
        <v>409</v>
      </c>
      <c r="D19" s="135" t="s">
        <v>44</v>
      </c>
      <c r="E19" s="135">
        <v>1</v>
      </c>
      <c r="F19" s="21"/>
      <c r="G19" s="22"/>
    </row>
    <row r="20" spans="1:7" ht="25.5">
      <c r="A20" s="147">
        <v>6</v>
      </c>
      <c r="B20" s="135" t="s">
        <v>307</v>
      </c>
      <c r="C20" s="151" t="s">
        <v>410</v>
      </c>
      <c r="D20" s="135" t="s">
        <v>321</v>
      </c>
      <c r="E20" s="135">
        <v>1</v>
      </c>
      <c r="F20" s="21"/>
      <c r="G20" s="22"/>
    </row>
    <row r="21" spans="1:7">
      <c r="A21" s="147">
        <v>7</v>
      </c>
      <c r="B21" s="135" t="s">
        <v>307</v>
      </c>
      <c r="C21" s="168" t="s">
        <v>411</v>
      </c>
      <c r="D21" s="135" t="s">
        <v>321</v>
      </c>
      <c r="E21" s="135">
        <v>1</v>
      </c>
      <c r="F21" s="21"/>
      <c r="G21" s="22"/>
    </row>
    <row r="22" spans="1:7" ht="25.5">
      <c r="A22" s="147">
        <v>8</v>
      </c>
      <c r="B22" s="135" t="s">
        <v>307</v>
      </c>
      <c r="C22" s="151" t="s">
        <v>412</v>
      </c>
      <c r="D22" s="135" t="s">
        <v>321</v>
      </c>
      <c r="E22" s="135">
        <v>1</v>
      </c>
      <c r="F22" s="21"/>
      <c r="G22" s="22"/>
    </row>
    <row r="23" spans="1:7">
      <c r="A23" s="147">
        <v>9</v>
      </c>
      <c r="B23" s="135" t="s">
        <v>307</v>
      </c>
      <c r="C23" s="168" t="s">
        <v>411</v>
      </c>
      <c r="D23" s="135" t="s">
        <v>321</v>
      </c>
      <c r="E23" s="135">
        <v>1</v>
      </c>
      <c r="F23" s="21"/>
      <c r="G23" s="22"/>
    </row>
    <row r="24" spans="1:7" ht="25.5">
      <c r="A24" s="147">
        <v>10</v>
      </c>
      <c r="B24" s="135" t="s">
        <v>307</v>
      </c>
      <c r="C24" s="151" t="s">
        <v>413</v>
      </c>
      <c r="D24" s="135" t="s">
        <v>321</v>
      </c>
      <c r="E24" s="135">
        <v>1</v>
      </c>
      <c r="F24" s="21"/>
      <c r="G24" s="22"/>
    </row>
    <row r="25" spans="1:7">
      <c r="A25" s="147">
        <v>11</v>
      </c>
      <c r="B25" s="135" t="s">
        <v>307</v>
      </c>
      <c r="C25" s="168" t="s">
        <v>411</v>
      </c>
      <c r="D25" s="135" t="s">
        <v>321</v>
      </c>
      <c r="E25" s="135">
        <v>1</v>
      </c>
      <c r="F25" s="21"/>
      <c r="G25" s="22"/>
    </row>
    <row r="26" spans="1:7" ht="25.5">
      <c r="A26" s="147">
        <v>12</v>
      </c>
      <c r="B26" s="135" t="s">
        <v>307</v>
      </c>
      <c r="C26" s="151" t="s">
        <v>414</v>
      </c>
      <c r="D26" s="135" t="s">
        <v>321</v>
      </c>
      <c r="E26" s="135">
        <v>2</v>
      </c>
      <c r="F26" s="21"/>
      <c r="G26" s="22"/>
    </row>
    <row r="27" spans="1:7" ht="25.5">
      <c r="A27" s="147">
        <v>13</v>
      </c>
      <c r="B27" s="135" t="s">
        <v>307</v>
      </c>
      <c r="C27" s="151" t="s">
        <v>415</v>
      </c>
      <c r="D27" s="135" t="s">
        <v>321</v>
      </c>
      <c r="E27" s="135">
        <v>1</v>
      </c>
      <c r="F27" s="21"/>
      <c r="G27" s="22"/>
    </row>
    <row r="28" spans="1:7" ht="25.5">
      <c r="A28" s="147">
        <v>14</v>
      </c>
      <c r="B28" s="135" t="s">
        <v>307</v>
      </c>
      <c r="C28" s="151" t="s">
        <v>416</v>
      </c>
      <c r="D28" s="135" t="s">
        <v>321</v>
      </c>
      <c r="E28" s="169">
        <v>1</v>
      </c>
      <c r="F28" s="21"/>
      <c r="G28" s="22"/>
    </row>
    <row r="29" spans="1:7" ht="25.5">
      <c r="A29" s="147">
        <v>15</v>
      </c>
      <c r="B29" s="135" t="s">
        <v>307</v>
      </c>
      <c r="C29" s="151" t="s">
        <v>417</v>
      </c>
      <c r="D29" s="135" t="s">
        <v>321</v>
      </c>
      <c r="E29" s="169">
        <v>1</v>
      </c>
      <c r="F29" s="21"/>
      <c r="G29" s="22"/>
    </row>
    <row r="30" spans="1:7" ht="25.5">
      <c r="A30" s="147">
        <v>16</v>
      </c>
      <c r="B30" s="135" t="s">
        <v>307</v>
      </c>
      <c r="C30" s="151" t="s">
        <v>418</v>
      </c>
      <c r="D30" s="135" t="s">
        <v>321</v>
      </c>
      <c r="E30" s="169">
        <v>1</v>
      </c>
      <c r="F30" s="21"/>
      <c r="G30" s="22"/>
    </row>
    <row r="31" spans="1:7">
      <c r="A31" s="147">
        <v>17</v>
      </c>
      <c r="B31" s="135" t="s">
        <v>307</v>
      </c>
      <c r="C31" s="151" t="s">
        <v>419</v>
      </c>
      <c r="D31" s="135" t="s">
        <v>321</v>
      </c>
      <c r="E31" s="169">
        <v>1</v>
      </c>
      <c r="F31" s="21"/>
      <c r="G31" s="22"/>
    </row>
    <row r="32" spans="1:7">
      <c r="A32" s="147">
        <v>18</v>
      </c>
      <c r="B32" s="135" t="s">
        <v>307</v>
      </c>
      <c r="C32" s="151" t="s">
        <v>420</v>
      </c>
      <c r="D32" s="135" t="s">
        <v>321</v>
      </c>
      <c r="E32" s="135">
        <v>1</v>
      </c>
      <c r="F32" s="21"/>
      <c r="G32" s="22"/>
    </row>
    <row r="33" spans="1:7">
      <c r="A33" s="147">
        <v>19</v>
      </c>
      <c r="B33" s="135" t="s">
        <v>307</v>
      </c>
      <c r="C33" s="151" t="s">
        <v>421</v>
      </c>
      <c r="D33" s="135" t="s">
        <v>321</v>
      </c>
      <c r="E33" s="135">
        <v>1</v>
      </c>
      <c r="F33" s="21"/>
      <c r="G33" s="22"/>
    </row>
    <row r="34" spans="1:7">
      <c r="A34" s="147">
        <v>20</v>
      </c>
      <c r="B34" s="135" t="s">
        <v>307</v>
      </c>
      <c r="C34" s="151" t="s">
        <v>422</v>
      </c>
      <c r="D34" s="135" t="s">
        <v>321</v>
      </c>
      <c r="E34" s="135">
        <v>1</v>
      </c>
      <c r="F34" s="21"/>
      <c r="G34" s="22"/>
    </row>
    <row r="35" spans="1:7" ht="25.5">
      <c r="A35" s="147">
        <v>21</v>
      </c>
      <c r="B35" s="135" t="s">
        <v>307</v>
      </c>
      <c r="C35" s="151" t="s">
        <v>423</v>
      </c>
      <c r="D35" s="135" t="s">
        <v>321</v>
      </c>
      <c r="E35" s="135">
        <v>1</v>
      </c>
      <c r="F35" s="21"/>
      <c r="G35" s="22"/>
    </row>
    <row r="36" spans="1:7">
      <c r="A36" s="147">
        <v>22</v>
      </c>
      <c r="B36" s="135" t="s">
        <v>307</v>
      </c>
      <c r="C36" s="168" t="s">
        <v>424</v>
      </c>
      <c r="D36" s="135" t="s">
        <v>321</v>
      </c>
      <c r="E36" s="135">
        <v>6</v>
      </c>
      <c r="F36" s="21"/>
      <c r="G36" s="22"/>
    </row>
    <row r="37" spans="1:7">
      <c r="A37" s="147">
        <v>23</v>
      </c>
      <c r="B37" s="135" t="s">
        <v>307</v>
      </c>
      <c r="C37" s="168" t="s">
        <v>425</v>
      </c>
      <c r="D37" s="135" t="s">
        <v>321</v>
      </c>
      <c r="E37" s="135">
        <v>7</v>
      </c>
      <c r="F37" s="21"/>
      <c r="G37" s="22"/>
    </row>
    <row r="38" spans="1:7">
      <c r="A38" s="147">
        <v>24</v>
      </c>
      <c r="B38" s="135" t="s">
        <v>307</v>
      </c>
      <c r="C38" s="168" t="s">
        <v>426</v>
      </c>
      <c r="D38" s="135" t="s">
        <v>321</v>
      </c>
      <c r="E38" s="135">
        <v>2</v>
      </c>
      <c r="F38" s="21"/>
      <c r="G38" s="22"/>
    </row>
    <row r="39" spans="1:7">
      <c r="A39" s="147">
        <v>25</v>
      </c>
      <c r="B39" s="135" t="s">
        <v>307</v>
      </c>
      <c r="C39" s="168" t="s">
        <v>427</v>
      </c>
      <c r="D39" s="135" t="s">
        <v>321</v>
      </c>
      <c r="E39" s="135">
        <v>2</v>
      </c>
      <c r="F39" s="21"/>
      <c r="G39" s="22"/>
    </row>
    <row r="40" spans="1:7">
      <c r="A40" s="147">
        <v>26</v>
      </c>
      <c r="B40" s="135" t="s">
        <v>307</v>
      </c>
      <c r="C40" s="151" t="s">
        <v>428</v>
      </c>
      <c r="D40" s="135" t="s">
        <v>321</v>
      </c>
      <c r="E40" s="135">
        <v>1</v>
      </c>
      <c r="F40" s="21"/>
      <c r="G40" s="22"/>
    </row>
    <row r="41" spans="1:7" ht="25.5">
      <c r="A41" s="147">
        <v>27</v>
      </c>
      <c r="B41" s="135" t="s">
        <v>307</v>
      </c>
      <c r="C41" s="151" t="s">
        <v>429</v>
      </c>
      <c r="D41" s="135" t="s">
        <v>321</v>
      </c>
      <c r="E41" s="135">
        <v>1</v>
      </c>
      <c r="F41" s="21"/>
      <c r="G41" s="22"/>
    </row>
    <row r="42" spans="1:7">
      <c r="A42" s="147">
        <v>28</v>
      </c>
      <c r="B42" s="135" t="s">
        <v>307</v>
      </c>
      <c r="C42" s="170" t="s">
        <v>430</v>
      </c>
      <c r="D42" s="135" t="s">
        <v>321</v>
      </c>
      <c r="E42" s="171">
        <v>6</v>
      </c>
      <c r="F42" s="21"/>
      <c r="G42" s="22"/>
    </row>
    <row r="43" spans="1:7">
      <c r="A43" s="147">
        <v>29</v>
      </c>
      <c r="B43" s="135" t="s">
        <v>307</v>
      </c>
      <c r="C43" s="168" t="s">
        <v>431</v>
      </c>
      <c r="D43" s="135" t="s">
        <v>321</v>
      </c>
      <c r="E43" s="171">
        <v>2</v>
      </c>
      <c r="F43" s="21"/>
      <c r="G43" s="22"/>
    </row>
    <row r="44" spans="1:7">
      <c r="A44" s="147">
        <v>30</v>
      </c>
      <c r="B44" s="135" t="s">
        <v>307</v>
      </c>
      <c r="C44" s="168" t="s">
        <v>432</v>
      </c>
      <c r="D44" s="135" t="s">
        <v>321</v>
      </c>
      <c r="E44" s="171">
        <v>1</v>
      </c>
      <c r="F44" s="21"/>
      <c r="G44" s="22"/>
    </row>
    <row r="45" spans="1:7">
      <c r="A45" s="147">
        <v>31</v>
      </c>
      <c r="B45" s="135" t="s">
        <v>307</v>
      </c>
      <c r="C45" s="151" t="s">
        <v>1141</v>
      </c>
      <c r="D45" s="135" t="s">
        <v>321</v>
      </c>
      <c r="E45" s="135">
        <v>1</v>
      </c>
      <c r="F45" s="21"/>
      <c r="G45" s="22"/>
    </row>
    <row r="46" spans="1:7">
      <c r="A46" s="147">
        <v>32</v>
      </c>
      <c r="B46" s="135" t="s">
        <v>307</v>
      </c>
      <c r="C46" s="151" t="s">
        <v>433</v>
      </c>
      <c r="D46" s="135" t="s">
        <v>321</v>
      </c>
      <c r="E46" s="135">
        <v>2</v>
      </c>
      <c r="F46" s="21"/>
      <c r="G46" s="22"/>
    </row>
    <row r="47" spans="1:7">
      <c r="A47" s="147">
        <v>33</v>
      </c>
      <c r="B47" s="135" t="s">
        <v>307</v>
      </c>
      <c r="C47" s="151" t="s">
        <v>434</v>
      </c>
      <c r="D47" s="135" t="s">
        <v>321</v>
      </c>
      <c r="E47" s="135">
        <v>1</v>
      </c>
      <c r="F47" s="21"/>
      <c r="G47" s="22"/>
    </row>
    <row r="48" spans="1:7">
      <c r="A48" s="147">
        <v>34</v>
      </c>
      <c r="B48" s="135" t="s">
        <v>307</v>
      </c>
      <c r="C48" s="151" t="s">
        <v>1142</v>
      </c>
      <c r="D48" s="135" t="s">
        <v>321</v>
      </c>
      <c r="E48" s="169">
        <v>6</v>
      </c>
      <c r="F48" s="21"/>
      <c r="G48" s="22"/>
    </row>
    <row r="49" spans="1:7">
      <c r="A49" s="147">
        <v>35</v>
      </c>
      <c r="B49" s="135" t="s">
        <v>307</v>
      </c>
      <c r="C49" s="172" t="s">
        <v>435</v>
      </c>
      <c r="D49" s="135" t="s">
        <v>321</v>
      </c>
      <c r="E49" s="169">
        <v>5</v>
      </c>
      <c r="F49" s="21"/>
      <c r="G49" s="22"/>
    </row>
    <row r="50" spans="1:7">
      <c r="A50" s="147">
        <v>36</v>
      </c>
      <c r="B50" s="135" t="s">
        <v>307</v>
      </c>
      <c r="C50" s="148" t="s">
        <v>436</v>
      </c>
      <c r="D50" s="135" t="s">
        <v>321</v>
      </c>
      <c r="E50" s="171">
        <v>12</v>
      </c>
      <c r="F50" s="21"/>
      <c r="G50" s="22"/>
    </row>
    <row r="51" spans="1:7" ht="25.5">
      <c r="A51" s="147">
        <v>37</v>
      </c>
      <c r="B51" s="135" t="s">
        <v>307</v>
      </c>
      <c r="C51" s="148" t="s">
        <v>437</v>
      </c>
      <c r="D51" s="135" t="s">
        <v>321</v>
      </c>
      <c r="E51" s="171">
        <v>6</v>
      </c>
      <c r="F51" s="21"/>
      <c r="G51" s="22"/>
    </row>
    <row r="52" spans="1:7">
      <c r="A52" s="147">
        <v>38</v>
      </c>
      <c r="B52" s="135" t="s">
        <v>307</v>
      </c>
      <c r="C52" s="151" t="s">
        <v>1143</v>
      </c>
      <c r="D52" s="169" t="s">
        <v>33</v>
      </c>
      <c r="E52" s="171">
        <v>20</v>
      </c>
      <c r="F52" s="21"/>
      <c r="G52" s="22"/>
    </row>
    <row r="53" spans="1:7">
      <c r="A53" s="147">
        <v>39</v>
      </c>
      <c r="B53" s="135" t="s">
        <v>307</v>
      </c>
      <c r="C53" s="151" t="s">
        <v>1144</v>
      </c>
      <c r="D53" s="169" t="s">
        <v>33</v>
      </c>
      <c r="E53" s="171">
        <v>15</v>
      </c>
      <c r="F53" s="21"/>
      <c r="G53" s="22"/>
    </row>
    <row r="54" spans="1:7">
      <c r="A54" s="147">
        <v>40</v>
      </c>
      <c r="B54" s="135" t="s">
        <v>307</v>
      </c>
      <c r="C54" s="151" t="s">
        <v>1145</v>
      </c>
      <c r="D54" s="169" t="s">
        <v>33</v>
      </c>
      <c r="E54" s="171">
        <v>5</v>
      </c>
      <c r="F54" s="21"/>
      <c r="G54" s="22"/>
    </row>
    <row r="55" spans="1:7">
      <c r="A55" s="147">
        <v>41</v>
      </c>
      <c r="B55" s="135" t="s">
        <v>307</v>
      </c>
      <c r="C55" s="151" t="s">
        <v>1146</v>
      </c>
      <c r="D55" s="169" t="s">
        <v>33</v>
      </c>
      <c r="E55" s="171">
        <v>10</v>
      </c>
      <c r="F55" s="21"/>
      <c r="G55" s="22"/>
    </row>
    <row r="56" spans="1:7">
      <c r="A56" s="147">
        <v>42</v>
      </c>
      <c r="B56" s="135" t="s">
        <v>307</v>
      </c>
      <c r="C56" s="151" t="s">
        <v>1147</v>
      </c>
      <c r="D56" s="169" t="s">
        <v>33</v>
      </c>
      <c r="E56" s="171">
        <v>8</v>
      </c>
      <c r="F56" s="21"/>
      <c r="G56" s="22"/>
    </row>
    <row r="57" spans="1:7">
      <c r="A57" s="147">
        <v>43</v>
      </c>
      <c r="B57" s="135" t="s">
        <v>307</v>
      </c>
      <c r="C57" s="148" t="s">
        <v>438</v>
      </c>
      <c r="D57" s="169" t="s">
        <v>33</v>
      </c>
      <c r="E57" s="171">
        <v>1</v>
      </c>
      <c r="F57" s="21"/>
      <c r="G57" s="22"/>
    </row>
    <row r="58" spans="1:7" ht="25.5">
      <c r="A58" s="147">
        <v>44</v>
      </c>
      <c r="B58" s="135" t="s">
        <v>307</v>
      </c>
      <c r="C58" s="148" t="s">
        <v>439</v>
      </c>
      <c r="D58" s="169" t="s">
        <v>33</v>
      </c>
      <c r="E58" s="171">
        <v>22</v>
      </c>
      <c r="F58" s="21"/>
      <c r="G58" s="22"/>
    </row>
    <row r="59" spans="1:7" ht="25.5">
      <c r="A59" s="147">
        <v>45</v>
      </c>
      <c r="B59" s="135" t="s">
        <v>307</v>
      </c>
      <c r="C59" s="148" t="s">
        <v>341</v>
      </c>
      <c r="D59" s="169" t="s">
        <v>33</v>
      </c>
      <c r="E59" s="171">
        <v>17</v>
      </c>
      <c r="F59" s="21"/>
      <c r="G59" s="22"/>
    </row>
    <row r="60" spans="1:7" ht="25.5">
      <c r="A60" s="147">
        <v>46</v>
      </c>
      <c r="B60" s="135" t="s">
        <v>307</v>
      </c>
      <c r="C60" s="148" t="s">
        <v>440</v>
      </c>
      <c r="D60" s="169" t="s">
        <v>33</v>
      </c>
      <c r="E60" s="171">
        <v>6</v>
      </c>
      <c r="F60" s="21"/>
      <c r="G60" s="22"/>
    </row>
    <row r="61" spans="1:7" ht="25.5">
      <c r="A61" s="147">
        <v>47</v>
      </c>
      <c r="B61" s="135" t="s">
        <v>307</v>
      </c>
      <c r="C61" s="148" t="s">
        <v>441</v>
      </c>
      <c r="D61" s="169" t="s">
        <v>33</v>
      </c>
      <c r="E61" s="171">
        <v>12</v>
      </c>
      <c r="F61" s="21"/>
      <c r="G61" s="22"/>
    </row>
    <row r="62" spans="1:7">
      <c r="A62" s="147">
        <v>48</v>
      </c>
      <c r="B62" s="135" t="s">
        <v>307</v>
      </c>
      <c r="C62" s="151" t="s">
        <v>1148</v>
      </c>
      <c r="D62" s="135" t="s">
        <v>107</v>
      </c>
      <c r="E62" s="171">
        <v>2</v>
      </c>
      <c r="F62" s="21"/>
      <c r="G62" s="22"/>
    </row>
    <row r="63" spans="1:7">
      <c r="A63" s="147">
        <v>49</v>
      </c>
      <c r="B63" s="135" t="s">
        <v>307</v>
      </c>
      <c r="C63" s="151" t="s">
        <v>442</v>
      </c>
      <c r="D63" s="135" t="s">
        <v>107</v>
      </c>
      <c r="E63" s="171">
        <v>1</v>
      </c>
      <c r="F63" s="21"/>
      <c r="G63" s="22"/>
    </row>
    <row r="64" spans="1:7" ht="25.5">
      <c r="A64" s="147">
        <v>50</v>
      </c>
      <c r="B64" s="135" t="s">
        <v>307</v>
      </c>
      <c r="C64" s="151" t="s">
        <v>443</v>
      </c>
      <c r="D64" s="135" t="s">
        <v>44</v>
      </c>
      <c r="E64" s="135">
        <v>1</v>
      </c>
      <c r="F64" s="21"/>
      <c r="G64" s="22"/>
    </row>
    <row r="65" spans="1:7">
      <c r="A65" s="147">
        <v>51</v>
      </c>
      <c r="B65" s="135" t="s">
        <v>307</v>
      </c>
      <c r="C65" s="151" t="s">
        <v>444</v>
      </c>
      <c r="D65" s="135" t="s">
        <v>44</v>
      </c>
      <c r="E65" s="135">
        <v>1</v>
      </c>
      <c r="F65" s="21"/>
      <c r="G65" s="22"/>
    </row>
    <row r="66" spans="1:7">
      <c r="A66" s="147">
        <v>52</v>
      </c>
      <c r="B66" s="135" t="s">
        <v>307</v>
      </c>
      <c r="C66" s="151" t="s">
        <v>445</v>
      </c>
      <c r="D66" s="135" t="s">
        <v>44</v>
      </c>
      <c r="E66" s="135">
        <v>1</v>
      </c>
      <c r="F66" s="21"/>
      <c r="G66" s="22"/>
    </row>
    <row r="67" spans="1:7">
      <c r="A67" s="147">
        <v>53</v>
      </c>
      <c r="B67" s="135" t="s">
        <v>307</v>
      </c>
      <c r="C67" s="151" t="s">
        <v>446</v>
      </c>
      <c r="D67" s="135" t="s">
        <v>44</v>
      </c>
      <c r="E67" s="135">
        <v>1</v>
      </c>
      <c r="F67" s="21"/>
      <c r="G67" s="22"/>
    </row>
    <row r="68" spans="1:7">
      <c r="A68" s="147">
        <v>54</v>
      </c>
      <c r="B68" s="135" t="s">
        <v>307</v>
      </c>
      <c r="C68" s="151" t="s">
        <v>447</v>
      </c>
      <c r="D68" s="135" t="s">
        <v>44</v>
      </c>
      <c r="E68" s="135">
        <v>1</v>
      </c>
      <c r="F68" s="21"/>
      <c r="G68" s="22"/>
    </row>
    <row r="69" spans="1:7">
      <c r="A69" s="147">
        <v>55</v>
      </c>
      <c r="B69" s="135" t="s">
        <v>307</v>
      </c>
      <c r="C69" s="151" t="s">
        <v>448</v>
      </c>
      <c r="D69" s="135" t="s">
        <v>44</v>
      </c>
      <c r="E69" s="135">
        <v>1</v>
      </c>
      <c r="F69" s="21"/>
      <c r="G69" s="22"/>
    </row>
    <row r="70" spans="1:7">
      <c r="A70" s="147">
        <v>56</v>
      </c>
      <c r="B70" s="135" t="s">
        <v>307</v>
      </c>
      <c r="C70" s="173" t="s">
        <v>449</v>
      </c>
      <c r="D70" s="135" t="s">
        <v>36</v>
      </c>
      <c r="E70" s="135">
        <v>1</v>
      </c>
      <c r="F70" s="21"/>
      <c r="G70" s="22"/>
    </row>
    <row r="71" spans="1:7" s="17" customFormat="1">
      <c r="A71" s="28"/>
      <c r="B71" s="29"/>
      <c r="C71" s="30"/>
      <c r="D71" s="31"/>
      <c r="E71" s="12"/>
      <c r="F71" s="12"/>
      <c r="G71" s="32"/>
    </row>
    <row r="72" spans="1:7" ht="15">
      <c r="A72" s="13"/>
      <c r="B72" s="13"/>
      <c r="C72" s="18"/>
      <c r="D72" s="19"/>
      <c r="E72" s="18"/>
      <c r="F72" s="18" t="s">
        <v>6</v>
      </c>
      <c r="G72" s="20"/>
    </row>
    <row r="74" spans="1:7" s="25" customFormat="1" ht="12.75" customHeight="1">
      <c r="B74" s="26" t="str">
        <f>'1,1'!B32</f>
        <v>Piezīmes:</v>
      </c>
    </row>
    <row r="75" spans="1:7" s="25" customFormat="1" ht="45" customHeight="1">
      <c r="A75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5" s="546"/>
      <c r="C75" s="546"/>
      <c r="D75" s="546"/>
      <c r="E75" s="546"/>
      <c r="F75" s="546"/>
      <c r="G75" s="546"/>
    </row>
    <row r="76" spans="1:7" s="25" customFormat="1" ht="12.75" customHeight="1">
      <c r="A76" s="546">
        <f>'1,1'!$A$34</f>
        <v>0</v>
      </c>
      <c r="B76" s="546"/>
      <c r="C76" s="546"/>
      <c r="D76" s="546"/>
      <c r="E76" s="546"/>
      <c r="F76" s="546"/>
      <c r="G76" s="546"/>
    </row>
    <row r="77" spans="1:7" s="25" customFormat="1" ht="12.75" customHeight="1">
      <c r="B77" s="27"/>
    </row>
    <row r="78" spans="1:7">
      <c r="B78" s="5" t="str">
        <f>'1,1'!B36</f>
        <v>Sastādīja:</v>
      </c>
    </row>
    <row r="79" spans="1:7" ht="14.25" customHeight="1">
      <c r="C79" s="33" t="str">
        <f>'1,1'!C37</f>
        <v>Arnis Gailītis</v>
      </c>
    </row>
    <row r="80" spans="1:7">
      <c r="C80" s="34" t="str">
        <f>'1,1'!C38</f>
        <v>Sertifikāta Nr.20-5643</v>
      </c>
      <c r="D80" s="35"/>
    </row>
    <row r="83" spans="2:3">
      <c r="B83" s="40" t="str">
        <f>'1,1'!B41</f>
        <v>Pārbaudīja:</v>
      </c>
      <c r="C83" s="3"/>
    </row>
    <row r="84" spans="2:3">
      <c r="B84" s="2"/>
      <c r="C84" s="33" t="str">
        <f>'1,1'!C42</f>
        <v>Aivars Mauriņš</v>
      </c>
    </row>
    <row r="85" spans="2:3">
      <c r="B85" s="1"/>
      <c r="C85" s="34" t="str">
        <f>'1,1'!C43</f>
        <v>Sertifikāta Nr.20-5957</v>
      </c>
    </row>
  </sheetData>
  <mergeCells count="15">
    <mergeCell ref="A76:G76"/>
    <mergeCell ref="A75:G75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0"/>
  <sheetViews>
    <sheetView showZeros="0" view="pageBreakPreview" topLeftCell="A106" zoomScale="80" zoomScaleNormal="100" zoomScaleSheetLayoutView="80" workbookViewId="0">
      <selection activeCell="A13" sqref="A13:E13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2.6</v>
      </c>
      <c r="E1" s="36"/>
      <c r="F1" s="36"/>
      <c r="G1" s="36"/>
    </row>
    <row r="2" spans="1:7" s="9" customFormat="1" ht="15">
      <c r="A2" s="549" t="str">
        <f>C13</f>
        <v>Elektroinstlācija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118"/>
      <c r="B13" s="131">
        <v>0</v>
      </c>
      <c r="C13" s="93" t="str">
        <f>[2]kops2!C26</f>
        <v>Elektroinstlācija</v>
      </c>
      <c r="D13" s="143"/>
      <c r="E13" s="144"/>
      <c r="F13" s="23"/>
      <c r="G13" s="24"/>
    </row>
    <row r="14" spans="1:7" ht="25.5">
      <c r="A14" s="174"/>
      <c r="B14" s="120" t="s">
        <v>450</v>
      </c>
      <c r="C14" s="175" t="s">
        <v>451</v>
      </c>
      <c r="D14" s="176"/>
      <c r="E14" s="176"/>
      <c r="F14" s="21"/>
      <c r="G14" s="22"/>
    </row>
    <row r="15" spans="1:7">
      <c r="A15" s="174" t="s">
        <v>452</v>
      </c>
      <c r="B15" s="120"/>
      <c r="C15" s="175" t="s">
        <v>453</v>
      </c>
      <c r="D15" s="176"/>
      <c r="E15" s="176"/>
      <c r="F15" s="21"/>
      <c r="G15" s="22"/>
    </row>
    <row r="16" spans="1:7">
      <c r="A16" s="177" t="s">
        <v>454</v>
      </c>
      <c r="B16" s="120" t="s">
        <v>450</v>
      </c>
      <c r="C16" s="127" t="s">
        <v>1107</v>
      </c>
      <c r="D16" s="178" t="s">
        <v>44</v>
      </c>
      <c r="E16" s="179">
        <v>1</v>
      </c>
      <c r="F16" s="21"/>
      <c r="G16" s="22"/>
    </row>
    <row r="17" spans="1:7">
      <c r="A17" s="177" t="s">
        <v>202</v>
      </c>
      <c r="B17" s="120" t="s">
        <v>450</v>
      </c>
      <c r="C17" s="127" t="s">
        <v>455</v>
      </c>
      <c r="D17" s="128" t="s">
        <v>243</v>
      </c>
      <c r="E17" s="130">
        <v>1</v>
      </c>
      <c r="F17" s="21"/>
      <c r="G17" s="22"/>
    </row>
    <row r="18" spans="1:7">
      <c r="A18" s="177" t="s">
        <v>456</v>
      </c>
      <c r="B18" s="120" t="s">
        <v>450</v>
      </c>
      <c r="C18" s="127" t="s">
        <v>457</v>
      </c>
      <c r="D18" s="128" t="s">
        <v>217</v>
      </c>
      <c r="E18" s="130">
        <v>1</v>
      </c>
      <c r="F18" s="21"/>
      <c r="G18" s="22"/>
    </row>
    <row r="19" spans="1:7">
      <c r="A19" s="177" t="s">
        <v>230</v>
      </c>
      <c r="B19" s="120" t="s">
        <v>450</v>
      </c>
      <c r="C19" s="127" t="s">
        <v>458</v>
      </c>
      <c r="D19" s="128" t="s">
        <v>217</v>
      </c>
      <c r="E19" s="130">
        <v>1</v>
      </c>
      <c r="F19" s="21"/>
      <c r="G19" s="22"/>
    </row>
    <row r="20" spans="1:7">
      <c r="A20" s="177" t="s">
        <v>459</v>
      </c>
      <c r="B20" s="120" t="s">
        <v>450</v>
      </c>
      <c r="C20" s="127" t="s">
        <v>460</v>
      </c>
      <c r="D20" s="128" t="s">
        <v>217</v>
      </c>
      <c r="E20" s="130">
        <v>1</v>
      </c>
      <c r="F20" s="21"/>
      <c r="G20" s="22"/>
    </row>
    <row r="21" spans="1:7">
      <c r="A21" s="177" t="s">
        <v>461</v>
      </c>
      <c r="B21" s="120" t="s">
        <v>450</v>
      </c>
      <c r="C21" s="127" t="s">
        <v>1108</v>
      </c>
      <c r="D21" s="128" t="s">
        <v>217</v>
      </c>
      <c r="E21" s="130">
        <v>1</v>
      </c>
      <c r="F21" s="21"/>
      <c r="G21" s="22"/>
    </row>
    <row r="22" spans="1:7">
      <c r="A22" s="177" t="s">
        <v>462</v>
      </c>
      <c r="B22" s="120" t="s">
        <v>450</v>
      </c>
      <c r="C22" s="127" t="s">
        <v>1109</v>
      </c>
      <c r="D22" s="128" t="s">
        <v>217</v>
      </c>
      <c r="E22" s="130">
        <v>1</v>
      </c>
      <c r="F22" s="21"/>
      <c r="G22" s="22"/>
    </row>
    <row r="23" spans="1:7">
      <c r="A23" s="177" t="s">
        <v>197</v>
      </c>
      <c r="B23" s="120" t="s">
        <v>450</v>
      </c>
      <c r="C23" s="127" t="s">
        <v>1110</v>
      </c>
      <c r="D23" s="128" t="s">
        <v>217</v>
      </c>
      <c r="E23" s="130">
        <v>1</v>
      </c>
      <c r="F23" s="21"/>
      <c r="G23" s="22"/>
    </row>
    <row r="24" spans="1:7">
      <c r="A24" s="177" t="s">
        <v>463</v>
      </c>
      <c r="B24" s="120" t="s">
        <v>450</v>
      </c>
      <c r="C24" s="127" t="s">
        <v>464</v>
      </c>
      <c r="D24" s="128" t="s">
        <v>217</v>
      </c>
      <c r="E24" s="130">
        <v>1</v>
      </c>
      <c r="F24" s="21"/>
      <c r="G24" s="22"/>
    </row>
    <row r="25" spans="1:7">
      <c r="A25" s="177" t="s">
        <v>465</v>
      </c>
      <c r="B25" s="120" t="s">
        <v>450</v>
      </c>
      <c r="C25" s="127" t="s">
        <v>466</v>
      </c>
      <c r="D25" s="128" t="s">
        <v>217</v>
      </c>
      <c r="E25" s="130">
        <v>1</v>
      </c>
      <c r="F25" s="21"/>
      <c r="G25" s="22"/>
    </row>
    <row r="26" spans="1:7" ht="38.25">
      <c r="A26" s="177" t="s">
        <v>467</v>
      </c>
      <c r="B26" s="120" t="s">
        <v>450</v>
      </c>
      <c r="C26" s="127" t="s">
        <v>468</v>
      </c>
      <c r="D26" s="128" t="s">
        <v>217</v>
      </c>
      <c r="E26" s="130">
        <v>1</v>
      </c>
      <c r="F26" s="21"/>
      <c r="G26" s="22"/>
    </row>
    <row r="27" spans="1:7">
      <c r="A27" s="177" t="s">
        <v>469</v>
      </c>
      <c r="B27" s="120" t="s">
        <v>450</v>
      </c>
      <c r="C27" s="127" t="s">
        <v>470</v>
      </c>
      <c r="D27" s="128" t="s">
        <v>217</v>
      </c>
      <c r="E27" s="130">
        <v>1</v>
      </c>
      <c r="F27" s="21"/>
      <c r="G27" s="22"/>
    </row>
    <row r="28" spans="1:7">
      <c r="A28" s="177" t="s">
        <v>471</v>
      </c>
      <c r="B28" s="120" t="s">
        <v>450</v>
      </c>
      <c r="C28" s="127" t="s">
        <v>472</v>
      </c>
      <c r="D28" s="128" t="s">
        <v>217</v>
      </c>
      <c r="E28" s="130">
        <v>2</v>
      </c>
      <c r="F28" s="21"/>
      <c r="G28" s="22"/>
    </row>
    <row r="29" spans="1:7" ht="25.5">
      <c r="A29" s="177" t="s">
        <v>473</v>
      </c>
      <c r="B29" s="120" t="s">
        <v>450</v>
      </c>
      <c r="C29" s="127" t="s">
        <v>474</v>
      </c>
      <c r="D29" s="128" t="s">
        <v>217</v>
      </c>
      <c r="E29" s="130">
        <v>1</v>
      </c>
      <c r="F29" s="21"/>
      <c r="G29" s="22"/>
    </row>
    <row r="30" spans="1:7">
      <c r="A30" s="177" t="s">
        <v>475</v>
      </c>
      <c r="B30" s="120" t="s">
        <v>450</v>
      </c>
      <c r="C30" s="127" t="s">
        <v>476</v>
      </c>
      <c r="D30" s="128" t="s">
        <v>321</v>
      </c>
      <c r="E30" s="130">
        <v>12</v>
      </c>
      <c r="F30" s="21"/>
      <c r="G30" s="22"/>
    </row>
    <row r="31" spans="1:7">
      <c r="A31" s="177" t="s">
        <v>477</v>
      </c>
      <c r="B31" s="120" t="s">
        <v>450</v>
      </c>
      <c r="C31" s="180" t="s">
        <v>51</v>
      </c>
      <c r="D31" s="178" t="s">
        <v>44</v>
      </c>
      <c r="E31" s="179">
        <v>1</v>
      </c>
      <c r="F31" s="21"/>
      <c r="G31" s="22"/>
    </row>
    <row r="32" spans="1:7">
      <c r="A32" s="181" t="s">
        <v>478</v>
      </c>
      <c r="B32" s="120"/>
      <c r="C32" s="175" t="s">
        <v>479</v>
      </c>
      <c r="D32" s="182"/>
      <c r="E32" s="179"/>
      <c r="F32" s="21"/>
      <c r="G32" s="22"/>
    </row>
    <row r="33" spans="1:7" ht="38.25">
      <c r="A33" s="181" t="s">
        <v>454</v>
      </c>
      <c r="B33" s="120" t="s">
        <v>450</v>
      </c>
      <c r="C33" s="183" t="s">
        <v>1149</v>
      </c>
      <c r="D33" s="128" t="s">
        <v>44</v>
      </c>
      <c r="E33" s="128">
        <v>13</v>
      </c>
      <c r="F33" s="21"/>
      <c r="G33" s="22"/>
    </row>
    <row r="34" spans="1:7" ht="38.25">
      <c r="A34" s="181" t="s">
        <v>202</v>
      </c>
      <c r="B34" s="120" t="s">
        <v>450</v>
      </c>
      <c r="C34" s="183" t="s">
        <v>480</v>
      </c>
      <c r="D34" s="128" t="s">
        <v>44</v>
      </c>
      <c r="E34" s="120">
        <v>3</v>
      </c>
      <c r="F34" s="21"/>
      <c r="G34" s="22"/>
    </row>
    <row r="35" spans="1:7" ht="25.5">
      <c r="A35" s="181" t="s">
        <v>456</v>
      </c>
      <c r="B35" s="120" t="s">
        <v>450</v>
      </c>
      <c r="C35" s="183" t="s">
        <v>481</v>
      </c>
      <c r="D35" s="128" t="s">
        <v>44</v>
      </c>
      <c r="E35" s="184">
        <v>14</v>
      </c>
      <c r="F35" s="21"/>
      <c r="G35" s="22"/>
    </row>
    <row r="36" spans="1:7" ht="25.5">
      <c r="A36" s="181" t="s">
        <v>230</v>
      </c>
      <c r="B36" s="120" t="s">
        <v>450</v>
      </c>
      <c r="C36" s="183" t="s">
        <v>482</v>
      </c>
      <c r="D36" s="128" t="s">
        <v>44</v>
      </c>
      <c r="E36" s="184">
        <v>10</v>
      </c>
      <c r="F36" s="21"/>
      <c r="G36" s="22"/>
    </row>
    <row r="37" spans="1:7" ht="25.5">
      <c r="A37" s="181" t="s">
        <v>459</v>
      </c>
      <c r="B37" s="120" t="s">
        <v>450</v>
      </c>
      <c r="C37" s="183" t="s">
        <v>483</v>
      </c>
      <c r="D37" s="128" t="s">
        <v>44</v>
      </c>
      <c r="E37" s="184">
        <v>4</v>
      </c>
      <c r="F37" s="21"/>
      <c r="G37" s="22"/>
    </row>
    <row r="38" spans="1:7" ht="25.5">
      <c r="A38" s="181" t="s">
        <v>461</v>
      </c>
      <c r="B38" s="120" t="s">
        <v>450</v>
      </c>
      <c r="C38" s="183" t="s">
        <v>1150</v>
      </c>
      <c r="D38" s="128" t="s">
        <v>44</v>
      </c>
      <c r="E38" s="184">
        <v>5</v>
      </c>
      <c r="F38" s="21"/>
      <c r="G38" s="22"/>
    </row>
    <row r="39" spans="1:7" ht="25.5">
      <c r="A39" s="181" t="s">
        <v>462</v>
      </c>
      <c r="B39" s="120" t="s">
        <v>450</v>
      </c>
      <c r="C39" s="183" t="s">
        <v>1151</v>
      </c>
      <c r="D39" s="128" t="s">
        <v>44</v>
      </c>
      <c r="E39" s="184">
        <v>13</v>
      </c>
      <c r="F39" s="21"/>
      <c r="G39" s="22"/>
    </row>
    <row r="40" spans="1:7" ht="45">
      <c r="A40" s="181" t="s">
        <v>197</v>
      </c>
      <c r="B40" s="120" t="s">
        <v>450</v>
      </c>
      <c r="C40" s="185" t="s">
        <v>1152</v>
      </c>
      <c r="D40" s="128" t="s">
        <v>44</v>
      </c>
      <c r="E40" s="184">
        <v>2</v>
      </c>
      <c r="F40" s="21"/>
      <c r="G40" s="22"/>
    </row>
    <row r="41" spans="1:7" ht="38.25">
      <c r="A41" s="181" t="s">
        <v>463</v>
      </c>
      <c r="B41" s="120" t="s">
        <v>450</v>
      </c>
      <c r="C41" s="183" t="s">
        <v>1153</v>
      </c>
      <c r="D41" s="128" t="s">
        <v>44</v>
      </c>
      <c r="E41" s="184">
        <v>6</v>
      </c>
      <c r="F41" s="21"/>
      <c r="G41" s="22"/>
    </row>
    <row r="42" spans="1:7" ht="45">
      <c r="A42" s="181" t="s">
        <v>465</v>
      </c>
      <c r="B42" s="120"/>
      <c r="C42" s="185" t="s">
        <v>1154</v>
      </c>
      <c r="D42" s="128" t="s">
        <v>44</v>
      </c>
      <c r="E42" s="184">
        <v>2</v>
      </c>
      <c r="F42" s="21"/>
      <c r="G42" s="22"/>
    </row>
    <row r="43" spans="1:7" ht="25.5">
      <c r="A43" s="181" t="s">
        <v>467</v>
      </c>
      <c r="B43" s="120" t="s">
        <v>450</v>
      </c>
      <c r="C43" s="183" t="s">
        <v>1155</v>
      </c>
      <c r="D43" s="128" t="s">
        <v>44</v>
      </c>
      <c r="E43" s="184">
        <v>48</v>
      </c>
      <c r="F43" s="21"/>
      <c r="G43" s="22"/>
    </row>
    <row r="44" spans="1:7" ht="25.5">
      <c r="A44" s="181" t="s">
        <v>469</v>
      </c>
      <c r="B44" s="120" t="s">
        <v>450</v>
      </c>
      <c r="C44" s="183" t="s">
        <v>484</v>
      </c>
      <c r="D44" s="128" t="s">
        <v>44</v>
      </c>
      <c r="E44" s="184">
        <v>10</v>
      </c>
      <c r="F44" s="21"/>
      <c r="G44" s="22"/>
    </row>
    <row r="45" spans="1:7" ht="38.25">
      <c r="A45" s="181" t="s">
        <v>471</v>
      </c>
      <c r="B45" s="120" t="s">
        <v>450</v>
      </c>
      <c r="C45" s="183" t="s">
        <v>485</v>
      </c>
      <c r="D45" s="128" t="s">
        <v>44</v>
      </c>
      <c r="E45" s="184">
        <v>12</v>
      </c>
      <c r="F45" s="21"/>
      <c r="G45" s="22"/>
    </row>
    <row r="46" spans="1:7" ht="38.25">
      <c r="A46" s="181" t="s">
        <v>473</v>
      </c>
      <c r="B46" s="120" t="s">
        <v>450</v>
      </c>
      <c r="C46" s="183" t="s">
        <v>1156</v>
      </c>
      <c r="D46" s="128" t="s">
        <v>44</v>
      </c>
      <c r="E46" s="128">
        <v>5</v>
      </c>
      <c r="F46" s="21"/>
      <c r="G46" s="22"/>
    </row>
    <row r="47" spans="1:7" ht="25.5">
      <c r="A47" s="181" t="s">
        <v>475</v>
      </c>
      <c r="B47" s="120" t="s">
        <v>450</v>
      </c>
      <c r="C47" s="183" t="s">
        <v>1157</v>
      </c>
      <c r="D47" s="128" t="s">
        <v>44</v>
      </c>
      <c r="E47" s="179">
        <v>13</v>
      </c>
      <c r="F47" s="21"/>
      <c r="G47" s="22"/>
    </row>
    <row r="48" spans="1:7" ht="38.25">
      <c r="A48" s="181" t="s">
        <v>477</v>
      </c>
      <c r="B48" s="120" t="s">
        <v>450</v>
      </c>
      <c r="C48" s="186" t="s">
        <v>1158</v>
      </c>
      <c r="D48" s="128" t="s">
        <v>44</v>
      </c>
      <c r="E48" s="179">
        <v>2</v>
      </c>
      <c r="F48" s="21"/>
      <c r="G48" s="22"/>
    </row>
    <row r="49" spans="1:7" ht="38.25">
      <c r="A49" s="181" t="s">
        <v>487</v>
      </c>
      <c r="B49" s="120"/>
      <c r="C49" s="186" t="s">
        <v>1111</v>
      </c>
      <c r="D49" s="128" t="s">
        <v>44</v>
      </c>
      <c r="E49" s="179">
        <v>4</v>
      </c>
      <c r="F49" s="21"/>
      <c r="G49" s="22"/>
    </row>
    <row r="50" spans="1:7" ht="25.5">
      <c r="A50" s="181" t="s">
        <v>488</v>
      </c>
      <c r="B50" s="120" t="s">
        <v>450</v>
      </c>
      <c r="C50" s="183" t="s">
        <v>486</v>
      </c>
      <c r="D50" s="128" t="s">
        <v>44</v>
      </c>
      <c r="E50" s="179">
        <v>8</v>
      </c>
      <c r="F50" s="21"/>
      <c r="G50" s="22"/>
    </row>
    <row r="51" spans="1:7">
      <c r="A51" s="181" t="s">
        <v>489</v>
      </c>
      <c r="B51" s="120" t="s">
        <v>450</v>
      </c>
      <c r="C51" s="183" t="s">
        <v>1159</v>
      </c>
      <c r="D51" s="128" t="s">
        <v>44</v>
      </c>
      <c r="E51" s="128">
        <v>17</v>
      </c>
      <c r="F51" s="21"/>
      <c r="G51" s="22"/>
    </row>
    <row r="52" spans="1:7" ht="25.5">
      <c r="A52" s="181" t="s">
        <v>513</v>
      </c>
      <c r="B52" s="120" t="s">
        <v>450</v>
      </c>
      <c r="C52" s="183" t="s">
        <v>1160</v>
      </c>
      <c r="D52" s="128" t="s">
        <v>44</v>
      </c>
      <c r="E52" s="128">
        <v>19</v>
      </c>
      <c r="F52" s="21"/>
      <c r="G52" s="22"/>
    </row>
    <row r="53" spans="1:7">
      <c r="A53" s="181"/>
      <c r="B53" s="120" t="s">
        <v>450</v>
      </c>
      <c r="C53" s="183" t="s">
        <v>51</v>
      </c>
      <c r="D53" s="128" t="s">
        <v>217</v>
      </c>
      <c r="E53" s="128">
        <v>1</v>
      </c>
      <c r="F53" s="21"/>
      <c r="G53" s="22"/>
    </row>
    <row r="54" spans="1:7">
      <c r="A54" s="181" t="s">
        <v>490</v>
      </c>
      <c r="B54" s="120"/>
      <c r="C54" s="175" t="s">
        <v>491</v>
      </c>
      <c r="D54" s="128"/>
      <c r="E54" s="179"/>
      <c r="F54" s="21"/>
      <c r="G54" s="22"/>
    </row>
    <row r="55" spans="1:7">
      <c r="A55" s="181" t="s">
        <v>454</v>
      </c>
      <c r="B55" s="120" t="s">
        <v>450</v>
      </c>
      <c r="C55" s="127" t="s">
        <v>492</v>
      </c>
      <c r="D55" s="128" t="s">
        <v>217</v>
      </c>
      <c r="E55" s="179">
        <v>23</v>
      </c>
      <c r="F55" s="21"/>
      <c r="G55" s="22"/>
    </row>
    <row r="56" spans="1:7">
      <c r="A56" s="181" t="s">
        <v>202</v>
      </c>
      <c r="B56" s="120" t="s">
        <v>450</v>
      </c>
      <c r="C56" s="127" t="s">
        <v>493</v>
      </c>
      <c r="D56" s="128" t="s">
        <v>217</v>
      </c>
      <c r="E56" s="128">
        <v>2</v>
      </c>
      <c r="F56" s="21"/>
      <c r="G56" s="22"/>
    </row>
    <row r="57" spans="1:7">
      <c r="A57" s="181" t="s">
        <v>456</v>
      </c>
      <c r="B57" s="120" t="s">
        <v>450</v>
      </c>
      <c r="C57" s="127" t="s">
        <v>494</v>
      </c>
      <c r="D57" s="128" t="s">
        <v>217</v>
      </c>
      <c r="E57" s="128">
        <v>1</v>
      </c>
      <c r="F57" s="21"/>
      <c r="G57" s="22"/>
    </row>
    <row r="58" spans="1:7">
      <c r="A58" s="181" t="s">
        <v>230</v>
      </c>
      <c r="B58" s="120" t="s">
        <v>450</v>
      </c>
      <c r="C58" s="127" t="s">
        <v>495</v>
      </c>
      <c r="D58" s="128" t="s">
        <v>217</v>
      </c>
      <c r="E58" s="128">
        <v>4</v>
      </c>
      <c r="F58" s="21"/>
      <c r="G58" s="22"/>
    </row>
    <row r="59" spans="1:7">
      <c r="A59" s="181" t="s">
        <v>459</v>
      </c>
      <c r="B59" s="120" t="s">
        <v>450</v>
      </c>
      <c r="C59" s="127" t="s">
        <v>496</v>
      </c>
      <c r="D59" s="128" t="s">
        <v>217</v>
      </c>
      <c r="E59" s="128">
        <v>2</v>
      </c>
      <c r="F59" s="21"/>
      <c r="G59" s="22"/>
    </row>
    <row r="60" spans="1:7">
      <c r="A60" s="181" t="s">
        <v>461</v>
      </c>
      <c r="B60" s="120" t="s">
        <v>450</v>
      </c>
      <c r="C60" s="127" t="s">
        <v>497</v>
      </c>
      <c r="D60" s="128" t="s">
        <v>321</v>
      </c>
      <c r="E60" s="130">
        <v>7</v>
      </c>
      <c r="F60" s="21"/>
      <c r="G60" s="22"/>
    </row>
    <row r="61" spans="1:7" ht="25.5">
      <c r="A61" s="181" t="s">
        <v>462</v>
      </c>
      <c r="B61" s="120" t="s">
        <v>450</v>
      </c>
      <c r="C61" s="127" t="s">
        <v>498</v>
      </c>
      <c r="D61" s="128" t="s">
        <v>321</v>
      </c>
      <c r="E61" s="130">
        <v>6</v>
      </c>
      <c r="F61" s="21"/>
      <c r="G61" s="22"/>
    </row>
    <row r="62" spans="1:7" ht="25.5">
      <c r="A62" s="181" t="s">
        <v>197</v>
      </c>
      <c r="B62" s="120" t="s">
        <v>450</v>
      </c>
      <c r="C62" s="127" t="s">
        <v>499</v>
      </c>
      <c r="D62" s="128" t="s">
        <v>321</v>
      </c>
      <c r="E62" s="130">
        <v>4</v>
      </c>
      <c r="F62" s="21"/>
      <c r="G62" s="22"/>
    </row>
    <row r="63" spans="1:7" ht="25.5">
      <c r="A63" s="181" t="s">
        <v>463</v>
      </c>
      <c r="B63" s="120" t="s">
        <v>450</v>
      </c>
      <c r="C63" s="127" t="s">
        <v>1161</v>
      </c>
      <c r="D63" s="130" t="s">
        <v>217</v>
      </c>
      <c r="E63" s="130">
        <v>4</v>
      </c>
      <c r="F63" s="21"/>
      <c r="G63" s="22"/>
    </row>
    <row r="64" spans="1:7">
      <c r="A64" s="181" t="s">
        <v>465</v>
      </c>
      <c r="B64" s="120" t="s">
        <v>450</v>
      </c>
      <c r="C64" s="127" t="s">
        <v>500</v>
      </c>
      <c r="D64" s="128" t="s">
        <v>217</v>
      </c>
      <c r="E64" s="128">
        <v>1</v>
      </c>
      <c r="F64" s="21"/>
      <c r="G64" s="22"/>
    </row>
    <row r="65" spans="1:7">
      <c r="A65" s="181" t="s">
        <v>467</v>
      </c>
      <c r="B65" s="120" t="s">
        <v>450</v>
      </c>
      <c r="C65" s="127" t="s">
        <v>501</v>
      </c>
      <c r="D65" s="128" t="s">
        <v>321</v>
      </c>
      <c r="E65" s="128">
        <v>32</v>
      </c>
      <c r="F65" s="21"/>
      <c r="G65" s="22"/>
    </row>
    <row r="66" spans="1:7">
      <c r="A66" s="181" t="s">
        <v>502</v>
      </c>
      <c r="B66" s="120" t="s">
        <v>450</v>
      </c>
      <c r="C66" s="175" t="s">
        <v>503</v>
      </c>
      <c r="D66" s="184"/>
      <c r="E66" s="120"/>
      <c r="F66" s="21"/>
      <c r="G66" s="22"/>
    </row>
    <row r="67" spans="1:7">
      <c r="A67" s="181" t="s">
        <v>454</v>
      </c>
      <c r="B67" s="120" t="s">
        <v>450</v>
      </c>
      <c r="C67" s="127" t="s">
        <v>1112</v>
      </c>
      <c r="D67" s="130" t="s">
        <v>33</v>
      </c>
      <c r="E67" s="130">
        <v>70</v>
      </c>
      <c r="F67" s="21"/>
      <c r="G67" s="22"/>
    </row>
    <row r="68" spans="1:7">
      <c r="A68" s="181" t="s">
        <v>202</v>
      </c>
      <c r="B68" s="120" t="s">
        <v>450</v>
      </c>
      <c r="C68" s="127" t="s">
        <v>504</v>
      </c>
      <c r="D68" s="130" t="s">
        <v>33</v>
      </c>
      <c r="E68" s="130">
        <v>10</v>
      </c>
      <c r="F68" s="21"/>
      <c r="G68" s="22"/>
    </row>
    <row r="69" spans="1:7">
      <c r="A69" s="181" t="s">
        <v>456</v>
      </c>
      <c r="B69" s="120" t="s">
        <v>450</v>
      </c>
      <c r="C69" s="127" t="s">
        <v>505</v>
      </c>
      <c r="D69" s="130" t="s">
        <v>33</v>
      </c>
      <c r="E69" s="130">
        <v>50</v>
      </c>
      <c r="F69" s="21"/>
      <c r="G69" s="22"/>
    </row>
    <row r="70" spans="1:7">
      <c r="A70" s="181" t="s">
        <v>230</v>
      </c>
      <c r="B70" s="120" t="s">
        <v>450</v>
      </c>
      <c r="C70" s="127" t="s">
        <v>506</v>
      </c>
      <c r="D70" s="130" t="s">
        <v>33</v>
      </c>
      <c r="E70" s="130">
        <v>70</v>
      </c>
      <c r="F70" s="21"/>
      <c r="G70" s="22"/>
    </row>
    <row r="71" spans="1:7">
      <c r="A71" s="181" t="s">
        <v>459</v>
      </c>
      <c r="B71" s="120" t="s">
        <v>450</v>
      </c>
      <c r="C71" s="127" t="s">
        <v>507</v>
      </c>
      <c r="D71" s="130" t="s">
        <v>33</v>
      </c>
      <c r="E71" s="130">
        <v>120</v>
      </c>
      <c r="F71" s="21"/>
      <c r="G71" s="22"/>
    </row>
    <row r="72" spans="1:7">
      <c r="A72" s="181" t="s">
        <v>461</v>
      </c>
      <c r="B72" s="120" t="s">
        <v>450</v>
      </c>
      <c r="C72" s="127" t="s">
        <v>1113</v>
      </c>
      <c r="D72" s="130" t="s">
        <v>33</v>
      </c>
      <c r="E72" s="130">
        <v>20</v>
      </c>
      <c r="F72" s="21"/>
      <c r="G72" s="22"/>
    </row>
    <row r="73" spans="1:7">
      <c r="A73" s="181" t="s">
        <v>462</v>
      </c>
      <c r="B73" s="120" t="s">
        <v>450</v>
      </c>
      <c r="C73" s="127" t="s">
        <v>508</v>
      </c>
      <c r="D73" s="130" t="s">
        <v>33</v>
      </c>
      <c r="E73" s="130">
        <v>300</v>
      </c>
      <c r="F73" s="21"/>
      <c r="G73" s="22"/>
    </row>
    <row r="74" spans="1:7">
      <c r="A74" s="181" t="s">
        <v>197</v>
      </c>
      <c r="B74" s="120" t="s">
        <v>450</v>
      </c>
      <c r="C74" s="127" t="s">
        <v>509</v>
      </c>
      <c r="D74" s="130" t="s">
        <v>33</v>
      </c>
      <c r="E74" s="130">
        <v>200</v>
      </c>
      <c r="F74" s="21"/>
      <c r="G74" s="22"/>
    </row>
    <row r="75" spans="1:7">
      <c r="A75" s="181" t="s">
        <v>463</v>
      </c>
      <c r="B75" s="120" t="s">
        <v>450</v>
      </c>
      <c r="C75" s="127" t="s">
        <v>510</v>
      </c>
      <c r="D75" s="130" t="s">
        <v>33</v>
      </c>
      <c r="E75" s="130">
        <v>100</v>
      </c>
      <c r="F75" s="21"/>
      <c r="G75" s="22"/>
    </row>
    <row r="76" spans="1:7">
      <c r="A76" s="181" t="s">
        <v>465</v>
      </c>
      <c r="B76" s="120" t="s">
        <v>450</v>
      </c>
      <c r="C76" s="127" t="s">
        <v>511</v>
      </c>
      <c r="D76" s="130" t="s">
        <v>33</v>
      </c>
      <c r="E76" s="130">
        <v>1900</v>
      </c>
      <c r="F76" s="21"/>
      <c r="G76" s="22"/>
    </row>
    <row r="77" spans="1:7">
      <c r="A77" s="181" t="s">
        <v>467</v>
      </c>
      <c r="B77" s="120" t="s">
        <v>450</v>
      </c>
      <c r="C77" s="127" t="s">
        <v>512</v>
      </c>
      <c r="D77" s="130" t="s">
        <v>33</v>
      </c>
      <c r="E77" s="130">
        <v>400</v>
      </c>
      <c r="F77" s="21"/>
      <c r="G77" s="22"/>
    </row>
    <row r="78" spans="1:7">
      <c r="A78" s="181" t="s">
        <v>469</v>
      </c>
      <c r="B78" s="120" t="s">
        <v>450</v>
      </c>
      <c r="C78" s="127" t="s">
        <v>514</v>
      </c>
      <c r="D78" s="130" t="s">
        <v>33</v>
      </c>
      <c r="E78" s="130">
        <v>400</v>
      </c>
      <c r="F78" s="21"/>
      <c r="G78" s="22"/>
    </row>
    <row r="79" spans="1:7">
      <c r="A79" s="181" t="s">
        <v>471</v>
      </c>
      <c r="B79" s="120" t="s">
        <v>450</v>
      </c>
      <c r="C79" s="127" t="s">
        <v>516</v>
      </c>
      <c r="D79" s="130" t="s">
        <v>33</v>
      </c>
      <c r="E79" s="130">
        <v>1800</v>
      </c>
      <c r="F79" s="21"/>
      <c r="G79" s="22"/>
    </row>
    <row r="80" spans="1:7">
      <c r="A80" s="181" t="s">
        <v>473</v>
      </c>
      <c r="B80" s="120" t="s">
        <v>450</v>
      </c>
      <c r="C80" s="127" t="s">
        <v>518</v>
      </c>
      <c r="D80" s="130" t="s">
        <v>33</v>
      </c>
      <c r="E80" s="130">
        <v>100</v>
      </c>
      <c r="F80" s="21"/>
      <c r="G80" s="22"/>
    </row>
    <row r="81" spans="1:7">
      <c r="A81" s="181" t="s">
        <v>475</v>
      </c>
      <c r="B81" s="120" t="s">
        <v>450</v>
      </c>
      <c r="C81" s="127" t="s">
        <v>1162</v>
      </c>
      <c r="D81" s="130" t="s">
        <v>33</v>
      </c>
      <c r="E81" s="130">
        <v>30</v>
      </c>
      <c r="F81" s="21"/>
      <c r="G81" s="22"/>
    </row>
    <row r="82" spans="1:7">
      <c r="A82" s="181" t="s">
        <v>477</v>
      </c>
      <c r="B82" s="120" t="s">
        <v>450</v>
      </c>
      <c r="C82" s="187" t="s">
        <v>1114</v>
      </c>
      <c r="D82" s="130" t="s">
        <v>33</v>
      </c>
      <c r="E82" s="130">
        <v>1300</v>
      </c>
      <c r="F82" s="21"/>
      <c r="G82" s="22"/>
    </row>
    <row r="83" spans="1:7">
      <c r="A83" s="181" t="s">
        <v>487</v>
      </c>
      <c r="B83" s="120" t="s">
        <v>450</v>
      </c>
      <c r="C83" s="127" t="s">
        <v>519</v>
      </c>
      <c r="D83" s="130" t="s">
        <v>33</v>
      </c>
      <c r="E83" s="130">
        <v>100</v>
      </c>
      <c r="F83" s="21"/>
      <c r="G83" s="22"/>
    </row>
    <row r="84" spans="1:7">
      <c r="A84" s="181" t="s">
        <v>488</v>
      </c>
      <c r="B84" s="120" t="s">
        <v>450</v>
      </c>
      <c r="C84" s="127" t="s">
        <v>520</v>
      </c>
      <c r="D84" s="130" t="s">
        <v>33</v>
      </c>
      <c r="E84" s="130">
        <v>600</v>
      </c>
      <c r="F84" s="21"/>
      <c r="G84" s="22"/>
    </row>
    <row r="85" spans="1:7">
      <c r="A85" s="181" t="s">
        <v>489</v>
      </c>
      <c r="B85" s="120" t="s">
        <v>450</v>
      </c>
      <c r="C85" s="127" t="s">
        <v>521</v>
      </c>
      <c r="D85" s="130" t="s">
        <v>33</v>
      </c>
      <c r="E85" s="130">
        <v>800</v>
      </c>
      <c r="F85" s="21"/>
      <c r="G85" s="22"/>
    </row>
    <row r="86" spans="1:7">
      <c r="A86" s="181" t="s">
        <v>513</v>
      </c>
      <c r="B86" s="120" t="s">
        <v>450</v>
      </c>
      <c r="C86" s="127" t="s">
        <v>522</v>
      </c>
      <c r="D86" s="130" t="s">
        <v>33</v>
      </c>
      <c r="E86" s="130">
        <v>100</v>
      </c>
      <c r="F86" s="21"/>
      <c r="G86" s="22"/>
    </row>
    <row r="87" spans="1:7">
      <c r="A87" s="181" t="s">
        <v>515</v>
      </c>
      <c r="B87" s="120" t="s">
        <v>450</v>
      </c>
      <c r="C87" s="127" t="s">
        <v>523</v>
      </c>
      <c r="D87" s="130" t="s">
        <v>33</v>
      </c>
      <c r="E87" s="130">
        <v>30</v>
      </c>
      <c r="F87" s="21"/>
      <c r="G87" s="22"/>
    </row>
    <row r="88" spans="1:7">
      <c r="A88" s="181" t="s">
        <v>517</v>
      </c>
      <c r="B88" s="120" t="s">
        <v>450</v>
      </c>
      <c r="C88" s="127" t="s">
        <v>524</v>
      </c>
      <c r="D88" s="130" t="s">
        <v>217</v>
      </c>
      <c r="E88" s="130">
        <v>1</v>
      </c>
      <c r="F88" s="21"/>
      <c r="G88" s="22"/>
    </row>
    <row r="89" spans="1:7">
      <c r="A89" s="181" t="s">
        <v>525</v>
      </c>
      <c r="B89" s="120"/>
      <c r="C89" s="175" t="s">
        <v>526</v>
      </c>
      <c r="D89" s="182"/>
      <c r="E89" s="179"/>
      <c r="F89" s="21"/>
      <c r="G89" s="22"/>
    </row>
    <row r="90" spans="1:7" ht="25.5">
      <c r="A90" s="181" t="s">
        <v>454</v>
      </c>
      <c r="B90" s="120" t="s">
        <v>450</v>
      </c>
      <c r="C90" s="127" t="s">
        <v>527</v>
      </c>
      <c r="D90" s="130" t="s">
        <v>217</v>
      </c>
      <c r="E90" s="130">
        <v>127</v>
      </c>
      <c r="F90" s="21"/>
      <c r="G90" s="22"/>
    </row>
    <row r="91" spans="1:7" ht="25.5">
      <c r="A91" s="181" t="s">
        <v>202</v>
      </c>
      <c r="B91" s="120" t="s">
        <v>450</v>
      </c>
      <c r="C91" s="127" t="s">
        <v>1163</v>
      </c>
      <c r="D91" s="130" t="s">
        <v>217</v>
      </c>
      <c r="E91" s="130">
        <v>24</v>
      </c>
      <c r="F91" s="21"/>
      <c r="G91" s="22"/>
    </row>
    <row r="92" spans="1:7" ht="25.5">
      <c r="A92" s="181" t="s">
        <v>456</v>
      </c>
      <c r="B92" s="120" t="s">
        <v>450</v>
      </c>
      <c r="C92" s="127" t="s">
        <v>528</v>
      </c>
      <c r="D92" s="130" t="s">
        <v>217</v>
      </c>
      <c r="E92" s="130">
        <v>8</v>
      </c>
      <c r="F92" s="21"/>
      <c r="G92" s="22"/>
    </row>
    <row r="93" spans="1:7">
      <c r="A93" s="181" t="s">
        <v>230</v>
      </c>
      <c r="B93" s="120" t="s">
        <v>450</v>
      </c>
      <c r="C93" s="127" t="s">
        <v>529</v>
      </c>
      <c r="D93" s="130" t="s">
        <v>217</v>
      </c>
      <c r="E93" s="130">
        <v>2</v>
      </c>
      <c r="F93" s="21"/>
      <c r="G93" s="22"/>
    </row>
    <row r="94" spans="1:7">
      <c r="A94" s="181" t="s">
        <v>459</v>
      </c>
      <c r="B94" s="120"/>
      <c r="C94" s="188" t="s">
        <v>1115</v>
      </c>
      <c r="D94" s="130" t="s">
        <v>217</v>
      </c>
      <c r="E94" s="130">
        <v>8</v>
      </c>
      <c r="F94" s="21"/>
      <c r="G94" s="22"/>
    </row>
    <row r="95" spans="1:7">
      <c r="A95" s="181" t="s">
        <v>461</v>
      </c>
      <c r="B95" s="120" t="s">
        <v>450</v>
      </c>
      <c r="C95" s="127" t="s">
        <v>530</v>
      </c>
      <c r="D95" s="130" t="s">
        <v>256</v>
      </c>
      <c r="E95" s="130">
        <v>35</v>
      </c>
      <c r="F95" s="21"/>
      <c r="G95" s="22"/>
    </row>
    <row r="96" spans="1:7">
      <c r="A96" s="181" t="s">
        <v>462</v>
      </c>
      <c r="B96" s="120" t="s">
        <v>450</v>
      </c>
      <c r="C96" s="189" t="s">
        <v>531</v>
      </c>
      <c r="D96" s="130" t="s">
        <v>33</v>
      </c>
      <c r="E96" s="130">
        <v>112</v>
      </c>
      <c r="F96" s="21"/>
      <c r="G96" s="22"/>
    </row>
    <row r="97" spans="1:7">
      <c r="A97" s="181" t="s">
        <v>197</v>
      </c>
      <c r="B97" s="120" t="s">
        <v>450</v>
      </c>
      <c r="C97" s="189" t="s">
        <v>532</v>
      </c>
      <c r="D97" s="130" t="s">
        <v>33</v>
      </c>
      <c r="E97" s="130">
        <v>36</v>
      </c>
      <c r="F97" s="21"/>
      <c r="G97" s="22"/>
    </row>
    <row r="98" spans="1:7">
      <c r="A98" s="181" t="s">
        <v>463</v>
      </c>
      <c r="B98" s="120" t="s">
        <v>450</v>
      </c>
      <c r="C98" s="189" t="s">
        <v>533</v>
      </c>
      <c r="D98" s="130" t="s">
        <v>33</v>
      </c>
      <c r="E98" s="130">
        <v>42</v>
      </c>
      <c r="F98" s="21"/>
      <c r="G98" s="22"/>
    </row>
    <row r="99" spans="1:7">
      <c r="A99" s="181" t="s">
        <v>465</v>
      </c>
      <c r="B99" s="120" t="s">
        <v>450</v>
      </c>
      <c r="C99" s="189" t="s">
        <v>534</v>
      </c>
      <c r="D99" s="130" t="s">
        <v>33</v>
      </c>
      <c r="E99" s="130">
        <v>3</v>
      </c>
      <c r="F99" s="21"/>
      <c r="G99" s="22"/>
    </row>
    <row r="100" spans="1:7">
      <c r="A100" s="181" t="s">
        <v>467</v>
      </c>
      <c r="B100" s="120" t="s">
        <v>450</v>
      </c>
      <c r="C100" s="189" t="s">
        <v>1164</v>
      </c>
      <c r="D100" s="130" t="s">
        <v>321</v>
      </c>
      <c r="E100" s="130">
        <v>1</v>
      </c>
      <c r="F100" s="21"/>
      <c r="G100" s="22"/>
    </row>
    <row r="101" spans="1:7">
      <c r="A101" s="181" t="s">
        <v>469</v>
      </c>
      <c r="B101" s="120" t="s">
        <v>450</v>
      </c>
      <c r="C101" s="189" t="s">
        <v>535</v>
      </c>
      <c r="D101" s="130" t="s">
        <v>321</v>
      </c>
      <c r="E101" s="130">
        <v>5</v>
      </c>
      <c r="F101" s="21"/>
      <c r="G101" s="22"/>
    </row>
    <row r="102" spans="1:7">
      <c r="A102" s="181" t="s">
        <v>471</v>
      </c>
      <c r="B102" s="120" t="s">
        <v>450</v>
      </c>
      <c r="C102" s="189" t="s">
        <v>536</v>
      </c>
      <c r="D102" s="130" t="s">
        <v>321</v>
      </c>
      <c r="E102" s="130">
        <v>2</v>
      </c>
      <c r="F102" s="21"/>
      <c r="G102" s="22"/>
    </row>
    <row r="103" spans="1:7">
      <c r="A103" s="181" t="s">
        <v>473</v>
      </c>
      <c r="B103" s="120" t="s">
        <v>450</v>
      </c>
      <c r="C103" s="189" t="s">
        <v>537</v>
      </c>
      <c r="D103" s="130" t="s">
        <v>321</v>
      </c>
      <c r="E103" s="130">
        <v>1</v>
      </c>
      <c r="F103" s="21"/>
      <c r="G103" s="22"/>
    </row>
    <row r="104" spans="1:7">
      <c r="A104" s="181" t="s">
        <v>475</v>
      </c>
      <c r="B104" s="120" t="s">
        <v>450</v>
      </c>
      <c r="C104" s="189" t="s">
        <v>538</v>
      </c>
      <c r="D104" s="130" t="s">
        <v>321</v>
      </c>
      <c r="E104" s="130">
        <v>1</v>
      </c>
      <c r="F104" s="21"/>
      <c r="G104" s="22"/>
    </row>
    <row r="105" spans="1:7">
      <c r="A105" s="181" t="s">
        <v>477</v>
      </c>
      <c r="B105" s="120" t="s">
        <v>450</v>
      </c>
      <c r="C105" s="189" t="s">
        <v>539</v>
      </c>
      <c r="D105" s="130" t="s">
        <v>321</v>
      </c>
      <c r="E105" s="130">
        <v>1</v>
      </c>
      <c r="F105" s="21"/>
      <c r="G105" s="22"/>
    </row>
    <row r="106" spans="1:7">
      <c r="A106" s="181" t="s">
        <v>487</v>
      </c>
      <c r="B106" s="120" t="s">
        <v>450</v>
      </c>
      <c r="C106" s="127" t="s">
        <v>540</v>
      </c>
      <c r="D106" s="130" t="s">
        <v>44</v>
      </c>
      <c r="E106" s="130">
        <v>1</v>
      </c>
      <c r="F106" s="21"/>
      <c r="G106" s="22"/>
    </row>
    <row r="107" spans="1:7">
      <c r="A107" s="181" t="s">
        <v>488</v>
      </c>
      <c r="B107" s="120" t="s">
        <v>450</v>
      </c>
      <c r="C107" s="127" t="s">
        <v>1165</v>
      </c>
      <c r="D107" s="130" t="s">
        <v>541</v>
      </c>
      <c r="E107" s="130">
        <v>10</v>
      </c>
      <c r="F107" s="21"/>
      <c r="G107" s="22"/>
    </row>
    <row r="108" spans="1:7">
      <c r="A108" s="181" t="s">
        <v>489</v>
      </c>
      <c r="B108" s="120" t="s">
        <v>450</v>
      </c>
      <c r="C108" s="127" t="s">
        <v>1166</v>
      </c>
      <c r="D108" s="130" t="s">
        <v>256</v>
      </c>
      <c r="E108" s="130">
        <v>12</v>
      </c>
      <c r="F108" s="21"/>
      <c r="G108" s="22"/>
    </row>
    <row r="109" spans="1:7" ht="25.5">
      <c r="A109" s="181" t="s">
        <v>513</v>
      </c>
      <c r="B109" s="120" t="s">
        <v>450</v>
      </c>
      <c r="C109" s="127" t="s">
        <v>542</v>
      </c>
      <c r="D109" s="130" t="s">
        <v>217</v>
      </c>
      <c r="E109" s="130">
        <v>1</v>
      </c>
      <c r="F109" s="21"/>
      <c r="G109" s="22"/>
    </row>
    <row r="110" spans="1:7">
      <c r="A110" s="181" t="s">
        <v>515</v>
      </c>
      <c r="B110" s="120" t="s">
        <v>450</v>
      </c>
      <c r="C110" s="127" t="s">
        <v>543</v>
      </c>
      <c r="D110" s="130" t="s">
        <v>256</v>
      </c>
      <c r="E110" s="130">
        <v>2</v>
      </c>
      <c r="F110" s="21"/>
      <c r="G110" s="22"/>
    </row>
    <row r="111" spans="1:7">
      <c r="A111" s="181" t="s">
        <v>517</v>
      </c>
      <c r="B111" s="120" t="s">
        <v>450</v>
      </c>
      <c r="C111" s="127" t="s">
        <v>544</v>
      </c>
      <c r="D111" s="130" t="s">
        <v>256</v>
      </c>
      <c r="E111" s="130">
        <v>24</v>
      </c>
      <c r="F111" s="21"/>
      <c r="G111" s="22"/>
    </row>
    <row r="112" spans="1:7">
      <c r="A112" s="181" t="s">
        <v>545</v>
      </c>
      <c r="B112" s="120" t="s">
        <v>450</v>
      </c>
      <c r="C112" s="127" t="s">
        <v>546</v>
      </c>
      <c r="D112" s="130" t="s">
        <v>256</v>
      </c>
      <c r="E112" s="130">
        <v>26</v>
      </c>
      <c r="F112" s="21"/>
      <c r="G112" s="22"/>
    </row>
    <row r="113" spans="1:7">
      <c r="A113" s="181" t="s">
        <v>547</v>
      </c>
      <c r="B113" s="120" t="s">
        <v>450</v>
      </c>
      <c r="C113" s="183" t="s">
        <v>51</v>
      </c>
      <c r="D113" s="128" t="s">
        <v>217</v>
      </c>
      <c r="E113" s="128">
        <v>1</v>
      </c>
      <c r="F113" s="21"/>
      <c r="G113" s="22"/>
    </row>
    <row r="114" spans="1:7">
      <c r="A114" s="181"/>
      <c r="B114" s="120"/>
      <c r="C114" s="190" t="s">
        <v>548</v>
      </c>
      <c r="D114" s="184"/>
      <c r="E114" s="120"/>
      <c r="F114" s="21"/>
      <c r="G114" s="22"/>
    </row>
    <row r="115" spans="1:7" ht="25.5">
      <c r="A115" s="191">
        <v>1</v>
      </c>
      <c r="B115" s="120" t="s">
        <v>450</v>
      </c>
      <c r="C115" s="127" t="s">
        <v>1167</v>
      </c>
      <c r="D115" s="130" t="s">
        <v>33</v>
      </c>
      <c r="E115" s="130">
        <v>140</v>
      </c>
      <c r="F115" s="21"/>
      <c r="G115" s="22"/>
    </row>
    <row r="116" spans="1:7">
      <c r="A116" s="191">
        <v>2</v>
      </c>
      <c r="B116" s="120" t="s">
        <v>450</v>
      </c>
      <c r="C116" s="127" t="s">
        <v>549</v>
      </c>
      <c r="D116" s="130" t="s">
        <v>33</v>
      </c>
      <c r="E116" s="130">
        <v>80</v>
      </c>
      <c r="F116" s="21"/>
      <c r="G116" s="22"/>
    </row>
    <row r="117" spans="1:7">
      <c r="A117" s="191">
        <v>3</v>
      </c>
      <c r="B117" s="120" t="s">
        <v>450</v>
      </c>
      <c r="C117" s="127" t="s">
        <v>550</v>
      </c>
      <c r="D117" s="130" t="s">
        <v>33</v>
      </c>
      <c r="E117" s="130">
        <v>600</v>
      </c>
      <c r="F117" s="21"/>
      <c r="G117" s="22"/>
    </row>
    <row r="118" spans="1:7">
      <c r="A118" s="191">
        <v>4</v>
      </c>
      <c r="B118" s="120" t="s">
        <v>450</v>
      </c>
      <c r="C118" s="127" t="s">
        <v>551</v>
      </c>
      <c r="D118" s="130" t="s">
        <v>256</v>
      </c>
      <c r="E118" s="130">
        <v>14</v>
      </c>
      <c r="F118" s="21"/>
      <c r="G118" s="22"/>
    </row>
    <row r="119" spans="1:7" ht="25.5">
      <c r="A119" s="191">
        <v>5</v>
      </c>
      <c r="B119" s="120" t="s">
        <v>450</v>
      </c>
      <c r="C119" s="127" t="s">
        <v>1168</v>
      </c>
      <c r="D119" s="130" t="s">
        <v>256</v>
      </c>
      <c r="E119" s="130">
        <v>1</v>
      </c>
      <c r="F119" s="21"/>
      <c r="G119" s="22"/>
    </row>
    <row r="120" spans="1:7" ht="25.5">
      <c r="A120" s="191">
        <v>6</v>
      </c>
      <c r="B120" s="120" t="s">
        <v>450</v>
      </c>
      <c r="C120" s="127" t="s">
        <v>552</v>
      </c>
      <c r="D120" s="130" t="s">
        <v>130</v>
      </c>
      <c r="E120" s="130">
        <v>1</v>
      </c>
      <c r="F120" s="21"/>
      <c r="G120" s="22"/>
    </row>
    <row r="121" spans="1:7" ht="25.5">
      <c r="A121" s="191">
        <v>7</v>
      </c>
      <c r="B121" s="120" t="s">
        <v>450</v>
      </c>
      <c r="C121" s="127" t="s">
        <v>1169</v>
      </c>
      <c r="D121" s="130" t="s">
        <v>130</v>
      </c>
      <c r="E121" s="130">
        <v>6</v>
      </c>
      <c r="F121" s="21"/>
      <c r="G121" s="22"/>
    </row>
    <row r="122" spans="1:7" ht="25.5">
      <c r="A122" s="191">
        <v>8</v>
      </c>
      <c r="B122" s="120" t="s">
        <v>450</v>
      </c>
      <c r="C122" s="127" t="s">
        <v>553</v>
      </c>
      <c r="D122" s="130" t="s">
        <v>130</v>
      </c>
      <c r="E122" s="130">
        <v>36</v>
      </c>
      <c r="F122" s="21"/>
      <c r="G122" s="22"/>
    </row>
    <row r="123" spans="1:7">
      <c r="A123" s="191">
        <v>9</v>
      </c>
      <c r="B123" s="120" t="s">
        <v>450</v>
      </c>
      <c r="C123" s="127" t="s">
        <v>554</v>
      </c>
      <c r="D123" s="130" t="s">
        <v>256</v>
      </c>
      <c r="E123" s="130">
        <v>36</v>
      </c>
      <c r="F123" s="21"/>
      <c r="G123" s="22"/>
    </row>
    <row r="124" spans="1:7">
      <c r="A124" s="191">
        <v>10</v>
      </c>
      <c r="B124" s="120" t="s">
        <v>450</v>
      </c>
      <c r="C124" s="127" t="s">
        <v>555</v>
      </c>
      <c r="D124" s="130" t="s">
        <v>256</v>
      </c>
      <c r="E124" s="130">
        <v>5</v>
      </c>
      <c r="F124" s="21"/>
      <c r="G124" s="22"/>
    </row>
    <row r="125" spans="1:7">
      <c r="A125" s="191">
        <v>11</v>
      </c>
      <c r="B125" s="120" t="s">
        <v>450</v>
      </c>
      <c r="C125" s="127" t="s">
        <v>556</v>
      </c>
      <c r="D125" s="130" t="s">
        <v>256</v>
      </c>
      <c r="E125" s="130">
        <v>18</v>
      </c>
      <c r="F125" s="21"/>
      <c r="G125" s="22"/>
    </row>
    <row r="126" spans="1:7">
      <c r="A126" s="191">
        <v>12</v>
      </c>
      <c r="B126" s="120" t="s">
        <v>450</v>
      </c>
      <c r="C126" s="127" t="s">
        <v>557</v>
      </c>
      <c r="D126" s="130" t="s">
        <v>256</v>
      </c>
      <c r="E126" s="130">
        <v>8</v>
      </c>
      <c r="F126" s="21"/>
      <c r="G126" s="22"/>
    </row>
    <row r="127" spans="1:7" ht="25.5">
      <c r="A127" s="191">
        <v>13</v>
      </c>
      <c r="B127" s="120" t="s">
        <v>450</v>
      </c>
      <c r="C127" s="127" t="s">
        <v>558</v>
      </c>
      <c r="D127" s="130" t="s">
        <v>256</v>
      </c>
      <c r="E127" s="130">
        <v>800</v>
      </c>
      <c r="F127" s="21"/>
      <c r="G127" s="22"/>
    </row>
    <row r="128" spans="1:7" ht="25.5">
      <c r="A128" s="191">
        <v>14</v>
      </c>
      <c r="B128" s="120" t="s">
        <v>450</v>
      </c>
      <c r="C128" s="127" t="s">
        <v>559</v>
      </c>
      <c r="D128" s="130" t="s">
        <v>256</v>
      </c>
      <c r="E128" s="130">
        <v>8</v>
      </c>
      <c r="F128" s="21"/>
      <c r="G128" s="22"/>
    </row>
    <row r="129" spans="1:7">
      <c r="A129" s="191">
        <v>15</v>
      </c>
      <c r="B129" s="120" t="s">
        <v>450</v>
      </c>
      <c r="C129" s="127" t="s">
        <v>560</v>
      </c>
      <c r="D129" s="130" t="s">
        <v>217</v>
      </c>
      <c r="E129" s="130">
        <v>1</v>
      </c>
      <c r="F129" s="21"/>
      <c r="G129" s="22"/>
    </row>
    <row r="130" spans="1:7">
      <c r="A130" s="191">
        <v>16</v>
      </c>
      <c r="B130" s="120" t="s">
        <v>450</v>
      </c>
      <c r="C130" s="127" t="s">
        <v>561</v>
      </c>
      <c r="D130" s="130" t="s">
        <v>217</v>
      </c>
      <c r="E130" s="130">
        <v>3</v>
      </c>
      <c r="F130" s="21"/>
      <c r="G130" s="22"/>
    </row>
    <row r="131" spans="1:7">
      <c r="A131" s="191">
        <v>17</v>
      </c>
      <c r="B131" s="120" t="s">
        <v>450</v>
      </c>
      <c r="C131" s="127" t="s">
        <v>562</v>
      </c>
      <c r="D131" s="130" t="s">
        <v>33</v>
      </c>
      <c r="E131" s="130">
        <v>20</v>
      </c>
      <c r="F131" s="21"/>
      <c r="G131" s="22"/>
    </row>
    <row r="132" spans="1:7">
      <c r="A132" s="191">
        <v>18</v>
      </c>
      <c r="B132" s="120" t="s">
        <v>450</v>
      </c>
      <c r="C132" s="127" t="s">
        <v>563</v>
      </c>
      <c r="D132" s="130" t="s">
        <v>33</v>
      </c>
      <c r="E132" s="130">
        <v>100</v>
      </c>
      <c r="F132" s="21"/>
      <c r="G132" s="22"/>
    </row>
    <row r="133" spans="1:7">
      <c r="A133" s="191">
        <v>19</v>
      </c>
      <c r="B133" s="120" t="s">
        <v>450</v>
      </c>
      <c r="C133" s="127" t="s">
        <v>564</v>
      </c>
      <c r="D133" s="130" t="s">
        <v>33</v>
      </c>
      <c r="E133" s="130">
        <v>800</v>
      </c>
      <c r="F133" s="21"/>
      <c r="G133" s="22"/>
    </row>
    <row r="134" spans="1:7">
      <c r="A134" s="191">
        <v>20</v>
      </c>
      <c r="B134" s="120" t="s">
        <v>450</v>
      </c>
      <c r="C134" s="127" t="s">
        <v>565</v>
      </c>
      <c r="D134" s="130" t="s">
        <v>321</v>
      </c>
      <c r="E134" s="130">
        <v>2</v>
      </c>
      <c r="F134" s="21"/>
      <c r="G134" s="22"/>
    </row>
    <row r="135" spans="1:7">
      <c r="A135" s="191">
        <v>21</v>
      </c>
      <c r="B135" s="120" t="s">
        <v>450</v>
      </c>
      <c r="C135" s="127" t="s">
        <v>51</v>
      </c>
      <c r="D135" s="184" t="s">
        <v>44</v>
      </c>
      <c r="E135" s="120">
        <v>1</v>
      </c>
      <c r="F135" s="21"/>
      <c r="G135" s="22"/>
    </row>
    <row r="136" spans="1:7" s="17" customFormat="1">
      <c r="A136" s="28"/>
      <c r="B136" s="29"/>
      <c r="C136" s="30"/>
      <c r="D136" s="31"/>
      <c r="E136" s="12"/>
      <c r="F136" s="12"/>
      <c r="G136" s="32"/>
    </row>
    <row r="137" spans="1:7" ht="15">
      <c r="A137" s="13"/>
      <c r="B137" s="13"/>
      <c r="C137" s="18"/>
      <c r="D137" s="19"/>
      <c r="E137" s="18"/>
      <c r="F137" s="18" t="s">
        <v>6</v>
      </c>
      <c r="G137" s="20"/>
    </row>
    <row r="139" spans="1:7" s="25" customFormat="1" ht="12.75" customHeight="1">
      <c r="B139" s="26" t="str">
        <f>'1,1'!B32</f>
        <v>Piezīmes:</v>
      </c>
    </row>
    <row r="140" spans="1:7" s="25" customFormat="1" ht="45" customHeight="1">
      <c r="A140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40" s="546"/>
      <c r="C140" s="546"/>
      <c r="D140" s="546"/>
      <c r="E140" s="546"/>
      <c r="F140" s="546"/>
      <c r="G140" s="546"/>
    </row>
    <row r="141" spans="1:7" s="25" customFormat="1" ht="12.75" customHeight="1">
      <c r="A141" s="546">
        <f>'1,1'!$A$34</f>
        <v>0</v>
      </c>
      <c r="B141" s="546"/>
      <c r="C141" s="546"/>
      <c r="D141" s="546"/>
      <c r="E141" s="546"/>
      <c r="F141" s="546"/>
      <c r="G141" s="546"/>
    </row>
    <row r="142" spans="1:7" s="25" customFormat="1" ht="12.75" customHeight="1">
      <c r="B142" s="27"/>
    </row>
    <row r="143" spans="1:7">
      <c r="B143" s="5" t="str">
        <f>'1,1'!B36</f>
        <v>Sastādīja:</v>
      </c>
    </row>
    <row r="144" spans="1:7" ht="14.25" customHeight="1">
      <c r="C144" s="33" t="str">
        <f>'1,1'!C37</f>
        <v>Arnis Gailītis</v>
      </c>
    </row>
    <row r="145" spans="2:4">
      <c r="C145" s="34" t="str">
        <f>'1,1'!C38</f>
        <v>Sertifikāta Nr.20-5643</v>
      </c>
      <c r="D145" s="35"/>
    </row>
    <row r="148" spans="2:4">
      <c r="B148" s="40" t="str">
        <f>'1,1'!B41</f>
        <v>Pārbaudīja:</v>
      </c>
      <c r="C148" s="3"/>
    </row>
    <row r="149" spans="2:4">
      <c r="B149" s="2"/>
      <c r="C149" s="33" t="str">
        <f>'1,1'!C42</f>
        <v>Aivars Mauriņš</v>
      </c>
    </row>
    <row r="150" spans="2:4">
      <c r="B150" s="1"/>
      <c r="C150" s="34" t="str">
        <f>'1,1'!C43</f>
        <v>Sertifikāta Nr.20-5957</v>
      </c>
    </row>
  </sheetData>
  <mergeCells count="15">
    <mergeCell ref="A141:G141"/>
    <mergeCell ref="A140:G14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2"/>
  <sheetViews>
    <sheetView showZeros="0" view="pageBreakPreview" topLeftCell="A34" zoomScale="80" zoomScaleNormal="100" zoomScaleSheetLayoutView="80" workbookViewId="0">
      <selection activeCell="C63" sqref="C6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1.2</v>
      </c>
      <c r="E1" s="36"/>
      <c r="F1" s="36"/>
      <c r="G1" s="36"/>
    </row>
    <row r="2" spans="1:7" s="9" customFormat="1" ht="15">
      <c r="A2" s="549" t="str">
        <f>C13</f>
        <v>Demontāžas darbi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>
        <v>0</v>
      </c>
      <c r="C13" s="93" t="str">
        <f>[2]kops1!C22</f>
        <v>Demontāžas darbi</v>
      </c>
      <c r="D13" s="94"/>
      <c r="E13" s="95"/>
      <c r="F13" s="23"/>
      <c r="G13" s="24"/>
    </row>
    <row r="14" spans="1:7">
      <c r="A14" s="147">
        <v>0</v>
      </c>
      <c r="B14" s="135"/>
      <c r="C14" s="290" t="s">
        <v>772</v>
      </c>
      <c r="D14" s="291"/>
      <c r="E14" s="289"/>
      <c r="F14" s="21"/>
      <c r="G14" s="22"/>
    </row>
    <row r="15" spans="1:7">
      <c r="A15" s="147">
        <v>0</v>
      </c>
      <c r="B15" s="135"/>
      <c r="C15" s="292" t="s">
        <v>773</v>
      </c>
      <c r="D15" s="291"/>
      <c r="E15" s="289"/>
      <c r="F15" s="21"/>
      <c r="G15" s="22"/>
    </row>
    <row r="16" spans="1:7">
      <c r="A16" s="147">
        <v>1</v>
      </c>
      <c r="B16" s="135" t="s">
        <v>60</v>
      </c>
      <c r="C16" s="293" t="s">
        <v>774</v>
      </c>
      <c r="D16" s="294" t="s">
        <v>716</v>
      </c>
      <c r="E16" s="289">
        <v>69</v>
      </c>
      <c r="F16" s="21"/>
      <c r="G16" s="22"/>
    </row>
    <row r="17" spans="1:7">
      <c r="A17" s="147">
        <v>2</v>
      </c>
      <c r="B17" s="135" t="s">
        <v>60</v>
      </c>
      <c r="C17" s="293" t="s">
        <v>775</v>
      </c>
      <c r="D17" s="294" t="s">
        <v>716</v>
      </c>
      <c r="E17" s="289">
        <v>123</v>
      </c>
      <c r="F17" s="21"/>
      <c r="G17" s="22"/>
    </row>
    <row r="18" spans="1:7" ht="25.5">
      <c r="A18" s="147">
        <v>3</v>
      </c>
      <c r="B18" s="135" t="s">
        <v>60</v>
      </c>
      <c r="C18" s="295" t="s">
        <v>776</v>
      </c>
      <c r="D18" s="294" t="s">
        <v>716</v>
      </c>
      <c r="E18" s="289">
        <v>55</v>
      </c>
      <c r="F18" s="21"/>
      <c r="G18" s="22"/>
    </row>
    <row r="19" spans="1:7" ht="25.5">
      <c r="A19" s="147">
        <v>4</v>
      </c>
      <c r="B19" s="135" t="s">
        <v>60</v>
      </c>
      <c r="C19" s="296" t="s">
        <v>777</v>
      </c>
      <c r="D19" s="294" t="s">
        <v>716</v>
      </c>
      <c r="E19" s="289">
        <v>5</v>
      </c>
      <c r="F19" s="21"/>
      <c r="G19" s="22"/>
    </row>
    <row r="20" spans="1:7" ht="25.5">
      <c r="A20" s="147">
        <v>5</v>
      </c>
      <c r="B20" s="135" t="s">
        <v>60</v>
      </c>
      <c r="C20" s="296" t="s">
        <v>778</v>
      </c>
      <c r="D20" s="294" t="s">
        <v>399</v>
      </c>
      <c r="E20" s="289">
        <v>45.3</v>
      </c>
      <c r="F20" s="21"/>
      <c r="G20" s="22"/>
    </row>
    <row r="21" spans="1:7">
      <c r="A21" s="147">
        <v>6</v>
      </c>
      <c r="B21" s="135" t="s">
        <v>60</v>
      </c>
      <c r="C21" s="296" t="s">
        <v>779</v>
      </c>
      <c r="D21" s="294" t="s">
        <v>399</v>
      </c>
      <c r="E21" s="289">
        <v>7</v>
      </c>
      <c r="F21" s="21"/>
      <c r="G21" s="22"/>
    </row>
    <row r="22" spans="1:7">
      <c r="A22" s="147">
        <v>7</v>
      </c>
      <c r="B22" s="135" t="s">
        <v>60</v>
      </c>
      <c r="C22" s="296" t="s">
        <v>780</v>
      </c>
      <c r="D22" s="294" t="s">
        <v>399</v>
      </c>
      <c r="E22" s="289">
        <v>9</v>
      </c>
      <c r="F22" s="21"/>
      <c r="G22" s="22"/>
    </row>
    <row r="23" spans="1:7">
      <c r="A23" s="147">
        <v>8</v>
      </c>
      <c r="B23" s="135" t="s">
        <v>60</v>
      </c>
      <c r="C23" s="296" t="s">
        <v>781</v>
      </c>
      <c r="D23" s="294" t="s">
        <v>716</v>
      </c>
      <c r="E23" s="289">
        <v>14.3</v>
      </c>
      <c r="F23" s="21"/>
      <c r="G23" s="22"/>
    </row>
    <row r="24" spans="1:7">
      <c r="A24" s="147">
        <v>9</v>
      </c>
      <c r="B24" s="135" t="s">
        <v>60</v>
      </c>
      <c r="C24" s="296" t="s">
        <v>782</v>
      </c>
      <c r="D24" s="294" t="s">
        <v>716</v>
      </c>
      <c r="E24" s="289">
        <v>26.7</v>
      </c>
      <c r="F24" s="21"/>
      <c r="G24" s="22"/>
    </row>
    <row r="25" spans="1:7" ht="25.5">
      <c r="A25" s="147">
        <v>10</v>
      </c>
      <c r="B25" s="135" t="s">
        <v>60</v>
      </c>
      <c r="C25" s="296" t="s">
        <v>783</v>
      </c>
      <c r="D25" s="294" t="s">
        <v>716</v>
      </c>
      <c r="E25" s="289">
        <v>57</v>
      </c>
      <c r="F25" s="21"/>
      <c r="G25" s="22"/>
    </row>
    <row r="26" spans="1:7">
      <c r="A26" s="147">
        <v>11</v>
      </c>
      <c r="B26" s="135" t="s">
        <v>60</v>
      </c>
      <c r="C26" s="296" t="s">
        <v>784</v>
      </c>
      <c r="D26" s="294" t="s">
        <v>716</v>
      </c>
      <c r="E26" s="289">
        <v>28.5</v>
      </c>
      <c r="F26" s="21"/>
      <c r="G26" s="22"/>
    </row>
    <row r="27" spans="1:7">
      <c r="A27" s="147">
        <v>12</v>
      </c>
      <c r="B27" s="135" t="s">
        <v>60</v>
      </c>
      <c r="C27" s="296" t="s">
        <v>785</v>
      </c>
      <c r="D27" s="294" t="s">
        <v>399</v>
      </c>
      <c r="E27" s="289">
        <v>56.4</v>
      </c>
      <c r="F27" s="21"/>
      <c r="G27" s="22"/>
    </row>
    <row r="28" spans="1:7">
      <c r="A28" s="147">
        <v>13</v>
      </c>
      <c r="B28" s="135" t="s">
        <v>60</v>
      </c>
      <c r="C28" s="296" t="s">
        <v>786</v>
      </c>
      <c r="D28" s="294" t="s">
        <v>399</v>
      </c>
      <c r="E28" s="289">
        <v>9.6</v>
      </c>
      <c r="F28" s="21"/>
      <c r="G28" s="22"/>
    </row>
    <row r="29" spans="1:7" ht="25.5">
      <c r="A29" s="147">
        <v>14</v>
      </c>
      <c r="B29" s="135" t="s">
        <v>60</v>
      </c>
      <c r="C29" s="296" t="s">
        <v>787</v>
      </c>
      <c r="D29" s="294" t="s">
        <v>399</v>
      </c>
      <c r="E29" s="289">
        <v>270</v>
      </c>
      <c r="F29" s="21"/>
      <c r="G29" s="22"/>
    </row>
    <row r="30" spans="1:7" ht="25.5">
      <c r="A30" s="147">
        <v>15</v>
      </c>
      <c r="B30" s="135" t="s">
        <v>60</v>
      </c>
      <c r="C30" s="296" t="s">
        <v>788</v>
      </c>
      <c r="D30" s="294" t="s">
        <v>399</v>
      </c>
      <c r="E30" s="289">
        <v>57.6</v>
      </c>
      <c r="F30" s="21"/>
      <c r="G30" s="22"/>
    </row>
    <row r="31" spans="1:7" ht="25.5">
      <c r="A31" s="147">
        <v>16</v>
      </c>
      <c r="B31" s="135" t="s">
        <v>60</v>
      </c>
      <c r="C31" s="296" t="s">
        <v>789</v>
      </c>
      <c r="D31" s="294" t="s">
        <v>716</v>
      </c>
      <c r="E31" s="289">
        <v>36</v>
      </c>
      <c r="F31" s="21"/>
      <c r="G31" s="22"/>
    </row>
    <row r="32" spans="1:7" ht="25.5">
      <c r="A32" s="147">
        <v>17</v>
      </c>
      <c r="B32" s="135" t="s">
        <v>60</v>
      </c>
      <c r="C32" s="296" t="s">
        <v>790</v>
      </c>
      <c r="D32" s="294" t="s">
        <v>716</v>
      </c>
      <c r="E32" s="289">
        <v>66</v>
      </c>
      <c r="F32" s="21"/>
      <c r="G32" s="22"/>
    </row>
    <row r="33" spans="1:7" ht="25.5">
      <c r="A33" s="147">
        <v>18</v>
      </c>
      <c r="B33" s="135" t="s">
        <v>60</v>
      </c>
      <c r="C33" s="296" t="s">
        <v>791</v>
      </c>
      <c r="D33" s="294" t="s">
        <v>399</v>
      </c>
      <c r="E33" s="289">
        <v>300</v>
      </c>
      <c r="F33" s="21"/>
      <c r="G33" s="22"/>
    </row>
    <row r="34" spans="1:7">
      <c r="A34" s="147">
        <v>19</v>
      </c>
      <c r="B34" s="135" t="s">
        <v>60</v>
      </c>
      <c r="C34" s="296" t="s">
        <v>792</v>
      </c>
      <c r="D34" s="294" t="s">
        <v>399</v>
      </c>
      <c r="E34" s="289">
        <v>300</v>
      </c>
      <c r="F34" s="21"/>
      <c r="G34" s="22"/>
    </row>
    <row r="35" spans="1:7">
      <c r="A35" s="147">
        <v>20</v>
      </c>
      <c r="B35" s="135" t="s">
        <v>60</v>
      </c>
      <c r="C35" s="296" t="s">
        <v>793</v>
      </c>
      <c r="D35" s="294" t="s">
        <v>716</v>
      </c>
      <c r="E35" s="289">
        <v>5</v>
      </c>
      <c r="F35" s="21"/>
      <c r="G35" s="22"/>
    </row>
    <row r="36" spans="1:7">
      <c r="A36" s="147">
        <v>21</v>
      </c>
      <c r="B36" s="135" t="s">
        <v>60</v>
      </c>
      <c r="C36" s="296" t="s">
        <v>794</v>
      </c>
      <c r="D36" s="297" t="s">
        <v>399</v>
      </c>
      <c r="E36" s="289">
        <v>45.3</v>
      </c>
      <c r="F36" s="21"/>
      <c r="G36" s="22"/>
    </row>
    <row r="37" spans="1:7">
      <c r="A37" s="147">
        <v>22</v>
      </c>
      <c r="B37" s="135" t="s">
        <v>60</v>
      </c>
      <c r="C37" s="293" t="s">
        <v>795</v>
      </c>
      <c r="D37" s="297" t="s">
        <v>399</v>
      </c>
      <c r="E37" s="289">
        <v>51</v>
      </c>
      <c r="F37" s="21"/>
      <c r="G37" s="22"/>
    </row>
    <row r="38" spans="1:7">
      <c r="A38" s="147">
        <v>23</v>
      </c>
      <c r="B38" s="135" t="s">
        <v>60</v>
      </c>
      <c r="C38" s="293" t="s">
        <v>796</v>
      </c>
      <c r="D38" s="297" t="s">
        <v>44</v>
      </c>
      <c r="E38" s="289">
        <v>1</v>
      </c>
      <c r="F38" s="21"/>
      <c r="G38" s="22"/>
    </row>
    <row r="39" spans="1:7" ht="25.5">
      <c r="A39" s="147">
        <v>24</v>
      </c>
      <c r="B39" s="135" t="s">
        <v>60</v>
      </c>
      <c r="C39" s="296" t="s">
        <v>797</v>
      </c>
      <c r="D39" s="297" t="s">
        <v>44</v>
      </c>
      <c r="E39" s="289">
        <v>1</v>
      </c>
      <c r="F39" s="21"/>
      <c r="G39" s="22"/>
    </row>
    <row r="40" spans="1:7">
      <c r="A40" s="147">
        <v>25</v>
      </c>
      <c r="B40" s="135" t="s">
        <v>60</v>
      </c>
      <c r="C40" s="293" t="s">
        <v>798</v>
      </c>
      <c r="D40" s="297" t="s">
        <v>44</v>
      </c>
      <c r="E40" s="289">
        <v>1</v>
      </c>
      <c r="F40" s="21"/>
      <c r="G40" s="22"/>
    </row>
    <row r="41" spans="1:7">
      <c r="A41" s="147">
        <v>26</v>
      </c>
      <c r="B41" s="135" t="s">
        <v>60</v>
      </c>
      <c r="C41" s="296" t="s">
        <v>799</v>
      </c>
      <c r="D41" s="297" t="s">
        <v>44</v>
      </c>
      <c r="E41" s="289">
        <v>1</v>
      </c>
      <c r="F41" s="21"/>
      <c r="G41" s="22"/>
    </row>
    <row r="42" spans="1:7">
      <c r="A42" s="147">
        <v>27</v>
      </c>
      <c r="B42" s="135" t="s">
        <v>60</v>
      </c>
      <c r="C42" s="296" t="s">
        <v>800</v>
      </c>
      <c r="D42" s="297" t="s">
        <v>44</v>
      </c>
      <c r="E42" s="289">
        <v>1</v>
      </c>
      <c r="F42" s="21"/>
      <c r="G42" s="22"/>
    </row>
    <row r="43" spans="1:7" ht="25.5">
      <c r="A43" s="147">
        <v>28</v>
      </c>
      <c r="B43" s="135" t="s">
        <v>60</v>
      </c>
      <c r="C43" s="296" t="s">
        <v>801</v>
      </c>
      <c r="D43" s="297" t="s">
        <v>44</v>
      </c>
      <c r="E43" s="289">
        <v>1</v>
      </c>
      <c r="F43" s="21"/>
      <c r="G43" s="22"/>
    </row>
    <row r="44" spans="1:7">
      <c r="A44" s="147">
        <v>29</v>
      </c>
      <c r="B44" s="135" t="s">
        <v>60</v>
      </c>
      <c r="C44" s="296" t="s">
        <v>802</v>
      </c>
      <c r="D44" s="297" t="s">
        <v>44</v>
      </c>
      <c r="E44" s="289">
        <v>1</v>
      </c>
      <c r="F44" s="21"/>
      <c r="G44" s="22"/>
    </row>
    <row r="45" spans="1:7">
      <c r="A45" s="147">
        <v>30</v>
      </c>
      <c r="B45" s="135" t="s">
        <v>60</v>
      </c>
      <c r="C45" s="296" t="s">
        <v>803</v>
      </c>
      <c r="D45" s="297" t="s">
        <v>716</v>
      </c>
      <c r="E45" s="289">
        <v>25</v>
      </c>
      <c r="F45" s="21"/>
      <c r="G45" s="22"/>
    </row>
    <row r="46" spans="1:7" ht="25.5">
      <c r="A46" s="147">
        <v>31</v>
      </c>
      <c r="B46" s="135" t="s">
        <v>60</v>
      </c>
      <c r="C46" s="296" t="s">
        <v>804</v>
      </c>
      <c r="D46" s="297" t="s">
        <v>716</v>
      </c>
      <c r="E46" s="289">
        <v>3.5</v>
      </c>
      <c r="F46" s="21"/>
      <c r="G46" s="22"/>
    </row>
    <row r="47" spans="1:7" ht="25.5">
      <c r="A47" s="147">
        <v>32</v>
      </c>
      <c r="B47" s="135" t="s">
        <v>60</v>
      </c>
      <c r="C47" s="296" t="s">
        <v>805</v>
      </c>
      <c r="D47" s="297" t="s">
        <v>716</v>
      </c>
      <c r="E47" s="289">
        <v>1.2</v>
      </c>
      <c r="F47" s="21"/>
      <c r="G47" s="22"/>
    </row>
    <row r="48" spans="1:7">
      <c r="A48" s="147">
        <v>33</v>
      </c>
      <c r="B48" s="135" t="s">
        <v>673</v>
      </c>
      <c r="C48" s="296" t="s">
        <v>806</v>
      </c>
      <c r="D48" s="297" t="s">
        <v>807</v>
      </c>
      <c r="E48" s="289">
        <v>10</v>
      </c>
      <c r="F48" s="21"/>
      <c r="G48" s="22"/>
    </row>
    <row r="49" spans="1:7" ht="25.5">
      <c r="A49" s="147">
        <v>34</v>
      </c>
      <c r="B49" s="135" t="s">
        <v>60</v>
      </c>
      <c r="C49" s="151" t="s">
        <v>808</v>
      </c>
      <c r="D49" s="184" t="s">
        <v>716</v>
      </c>
      <c r="E49" s="289">
        <v>1007.9</v>
      </c>
      <c r="F49" s="21"/>
      <c r="G49" s="22"/>
    </row>
    <row r="50" spans="1:7">
      <c r="A50" s="147">
        <v>0</v>
      </c>
      <c r="B50" s="135" t="s">
        <v>60</v>
      </c>
      <c r="C50" s="296" t="s">
        <v>809</v>
      </c>
      <c r="D50" s="297" t="s">
        <v>321</v>
      </c>
      <c r="E50" s="289">
        <v>168</v>
      </c>
      <c r="F50" s="21"/>
      <c r="G50" s="22"/>
    </row>
    <row r="51" spans="1:7">
      <c r="A51" s="147">
        <v>0</v>
      </c>
      <c r="B51" s="135"/>
      <c r="C51" s="296"/>
      <c r="D51" s="297"/>
      <c r="E51" s="289"/>
      <c r="F51" s="21"/>
      <c r="G51" s="22"/>
    </row>
    <row r="52" spans="1:7">
      <c r="A52" s="147">
        <v>0</v>
      </c>
      <c r="B52" s="135"/>
      <c r="C52" s="298" t="s">
        <v>810</v>
      </c>
      <c r="D52" s="297"/>
      <c r="E52" s="289"/>
      <c r="F52" s="21"/>
      <c r="G52" s="22"/>
    </row>
    <row r="53" spans="1:7">
      <c r="A53" s="147">
        <v>1</v>
      </c>
      <c r="B53" s="135" t="s">
        <v>60</v>
      </c>
      <c r="C53" s="296" t="s">
        <v>811</v>
      </c>
      <c r="D53" s="297" t="s">
        <v>716</v>
      </c>
      <c r="E53" s="289">
        <v>6</v>
      </c>
      <c r="F53" s="21"/>
      <c r="G53" s="22"/>
    </row>
    <row r="54" spans="1:7" ht="25.5">
      <c r="A54" s="147">
        <v>2</v>
      </c>
      <c r="B54" s="135" t="s">
        <v>60</v>
      </c>
      <c r="C54" s="296" t="s">
        <v>812</v>
      </c>
      <c r="D54" s="297" t="s">
        <v>716</v>
      </c>
      <c r="E54" s="289">
        <v>2.9</v>
      </c>
      <c r="F54" s="21"/>
      <c r="G54" s="22"/>
    </row>
    <row r="55" spans="1:7" ht="25.5">
      <c r="A55" s="147">
        <v>3</v>
      </c>
      <c r="B55" s="135" t="s">
        <v>60</v>
      </c>
      <c r="C55" s="296" t="s">
        <v>813</v>
      </c>
      <c r="D55" s="297" t="s">
        <v>716</v>
      </c>
      <c r="E55" s="289">
        <v>0.4</v>
      </c>
      <c r="F55" s="21"/>
      <c r="G55" s="22"/>
    </row>
    <row r="56" spans="1:7" ht="25.5">
      <c r="A56" s="147">
        <v>4</v>
      </c>
      <c r="B56" s="135" t="s">
        <v>60</v>
      </c>
      <c r="C56" s="296" t="s">
        <v>814</v>
      </c>
      <c r="D56" s="297" t="s">
        <v>716</v>
      </c>
      <c r="E56" s="289">
        <v>0.6</v>
      </c>
      <c r="F56" s="21"/>
      <c r="G56" s="22"/>
    </row>
    <row r="57" spans="1:7" ht="25.5">
      <c r="A57" s="147">
        <v>5</v>
      </c>
      <c r="B57" s="135" t="s">
        <v>60</v>
      </c>
      <c r="C57" s="296" t="s">
        <v>815</v>
      </c>
      <c r="D57" s="297" t="s">
        <v>399</v>
      </c>
      <c r="E57" s="289">
        <v>2.2000000000000002</v>
      </c>
      <c r="F57" s="21"/>
      <c r="G57" s="22"/>
    </row>
    <row r="58" spans="1:7">
      <c r="A58" s="147">
        <v>6</v>
      </c>
      <c r="B58" s="135" t="s">
        <v>60</v>
      </c>
      <c r="C58" s="296" t="s">
        <v>816</v>
      </c>
      <c r="D58" s="297" t="s">
        <v>716</v>
      </c>
      <c r="E58" s="289">
        <v>0.5</v>
      </c>
      <c r="F58" s="21"/>
      <c r="G58" s="22"/>
    </row>
    <row r="59" spans="1:7">
      <c r="A59" s="147">
        <v>7</v>
      </c>
      <c r="B59" s="135" t="s">
        <v>60</v>
      </c>
      <c r="C59" s="296" t="s">
        <v>817</v>
      </c>
      <c r="D59" s="297" t="s">
        <v>716</v>
      </c>
      <c r="E59" s="289">
        <v>0.2</v>
      </c>
      <c r="F59" s="21"/>
      <c r="G59" s="22"/>
    </row>
    <row r="60" spans="1:7">
      <c r="A60" s="147">
        <v>8</v>
      </c>
      <c r="B60" s="135" t="s">
        <v>60</v>
      </c>
      <c r="C60" s="296" t="s">
        <v>818</v>
      </c>
      <c r="D60" s="297" t="s">
        <v>44</v>
      </c>
      <c r="E60" s="289">
        <v>1</v>
      </c>
      <c r="F60" s="21"/>
      <c r="G60" s="22"/>
    </row>
    <row r="61" spans="1:7" ht="25.5">
      <c r="A61" s="147">
        <v>9</v>
      </c>
      <c r="B61" s="135" t="s">
        <v>60</v>
      </c>
      <c r="C61" s="151" t="s">
        <v>819</v>
      </c>
      <c r="D61" s="297" t="s">
        <v>716</v>
      </c>
      <c r="E61" s="289">
        <v>2.2999999999999998</v>
      </c>
      <c r="F61" s="21"/>
      <c r="G61" s="22"/>
    </row>
    <row r="62" spans="1:7" ht="25.5">
      <c r="A62" s="147">
        <v>10</v>
      </c>
      <c r="B62" s="135" t="s">
        <v>60</v>
      </c>
      <c r="C62" s="151" t="s">
        <v>820</v>
      </c>
      <c r="D62" s="297" t="s">
        <v>716</v>
      </c>
      <c r="E62" s="289">
        <v>0.7</v>
      </c>
      <c r="F62" s="21"/>
      <c r="G62" s="22"/>
    </row>
    <row r="63" spans="1:7">
      <c r="A63" s="147">
        <v>11</v>
      </c>
      <c r="B63" s="135" t="s">
        <v>60</v>
      </c>
      <c r="C63" s="293" t="s">
        <v>821</v>
      </c>
      <c r="D63" s="297" t="s">
        <v>716</v>
      </c>
      <c r="E63" s="289">
        <v>0.1</v>
      </c>
      <c r="F63" s="21"/>
      <c r="G63" s="22"/>
    </row>
    <row r="64" spans="1:7" ht="25.5">
      <c r="A64" s="147">
        <v>12</v>
      </c>
      <c r="B64" s="135" t="s">
        <v>673</v>
      </c>
      <c r="C64" s="299" t="s">
        <v>1099</v>
      </c>
      <c r="D64" s="297" t="s">
        <v>807</v>
      </c>
      <c r="E64" s="289">
        <v>6</v>
      </c>
      <c r="F64" s="21"/>
      <c r="G64" s="22"/>
    </row>
    <row r="65" spans="1:7" ht="25.5">
      <c r="A65" s="147">
        <v>13</v>
      </c>
      <c r="B65" s="135" t="s">
        <v>60</v>
      </c>
      <c r="C65" s="151" t="s">
        <v>808</v>
      </c>
      <c r="D65" s="184" t="s">
        <v>716</v>
      </c>
      <c r="E65" s="289">
        <v>22.7</v>
      </c>
      <c r="F65" s="21"/>
      <c r="G65" s="22"/>
    </row>
    <row r="66" spans="1:7">
      <c r="A66" s="147">
        <v>14</v>
      </c>
      <c r="B66" s="135" t="s">
        <v>60</v>
      </c>
      <c r="C66" s="296" t="s">
        <v>809</v>
      </c>
      <c r="D66" s="297" t="s">
        <v>321</v>
      </c>
      <c r="E66" s="289">
        <v>4</v>
      </c>
      <c r="F66" s="21"/>
      <c r="G66" s="22"/>
    </row>
    <row r="67" spans="1:7" ht="25.5">
      <c r="A67" s="466">
        <v>15</v>
      </c>
      <c r="B67" s="467" t="s">
        <v>673</v>
      </c>
      <c r="C67" s="468" t="s">
        <v>1338</v>
      </c>
      <c r="D67" s="469" t="s">
        <v>694</v>
      </c>
      <c r="E67" s="470">
        <v>1</v>
      </c>
      <c r="F67" s="52"/>
      <c r="G67" s="53"/>
    </row>
    <row r="68" spans="1:7" s="17" customFormat="1">
      <c r="A68" s="28"/>
      <c r="B68" s="29"/>
      <c r="C68" s="30"/>
      <c r="D68" s="31"/>
      <c r="E68" s="12"/>
      <c r="F68" s="12"/>
      <c r="G68" s="32"/>
    </row>
    <row r="69" spans="1:7" ht="15">
      <c r="A69" s="13"/>
      <c r="B69" s="13"/>
      <c r="C69" s="18"/>
      <c r="D69" s="19"/>
      <c r="E69" s="18"/>
      <c r="F69" s="18" t="s">
        <v>6</v>
      </c>
      <c r="G69" s="20"/>
    </row>
    <row r="71" spans="1:7" s="25" customFormat="1" ht="12.75" customHeight="1">
      <c r="B71" s="26" t="str">
        <f>'1,1'!B32</f>
        <v>Piezīmes:</v>
      </c>
    </row>
    <row r="72" spans="1:7" s="25" customFormat="1" ht="45" customHeight="1">
      <c r="A72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2" s="546"/>
      <c r="C72" s="546"/>
      <c r="D72" s="546"/>
      <c r="E72" s="546"/>
      <c r="F72" s="546"/>
      <c r="G72" s="546"/>
    </row>
    <row r="73" spans="1:7" s="25" customFormat="1" ht="12.75" customHeight="1">
      <c r="A73" s="546">
        <f>'1,1'!$A$34</f>
        <v>0</v>
      </c>
      <c r="B73" s="546"/>
      <c r="C73" s="546"/>
      <c r="D73" s="546"/>
      <c r="E73" s="546"/>
      <c r="F73" s="546"/>
      <c r="G73" s="546"/>
    </row>
    <row r="74" spans="1:7" s="25" customFormat="1" ht="12.75" customHeight="1">
      <c r="B74" s="27"/>
    </row>
    <row r="75" spans="1:7">
      <c r="B75" s="5" t="str">
        <f>'1,1'!B36</f>
        <v>Sastādīja:</v>
      </c>
    </row>
    <row r="76" spans="1:7" ht="14.25" customHeight="1">
      <c r="C76" s="33" t="str">
        <f>'1,1'!C37</f>
        <v>Arnis Gailītis</v>
      </c>
    </row>
    <row r="77" spans="1:7">
      <c r="C77" s="34" t="str">
        <f>'1,1'!C38</f>
        <v>Sertifikāta Nr.20-5643</v>
      </c>
      <c r="D77" s="35"/>
    </row>
    <row r="80" spans="1:7">
      <c r="B80" s="40" t="str">
        <f>'1,1'!B41</f>
        <v>Pārbaudīja:</v>
      </c>
      <c r="C80" s="3"/>
    </row>
    <row r="81" spans="2:3">
      <c r="B81" s="2"/>
      <c r="C81" s="33" t="str">
        <f>'1,1'!C42</f>
        <v>Aivars Mauriņš</v>
      </c>
    </row>
    <row r="82" spans="2:3">
      <c r="B82" s="1"/>
      <c r="C82" s="34" t="str">
        <f>'1,1'!C43</f>
        <v>Sertifikāta Nr.20-5957</v>
      </c>
    </row>
  </sheetData>
  <mergeCells count="15">
    <mergeCell ref="A73:G73"/>
    <mergeCell ref="A72:G72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9"/>
  <sheetViews>
    <sheetView showZeros="0" view="pageBreakPreview" topLeftCell="A28" zoomScale="80" zoomScaleNormal="100" zoomScaleSheetLayoutView="80" workbookViewId="0">
      <selection activeCell="A13" sqref="A13:E54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2.7</v>
      </c>
      <c r="E1" s="36"/>
      <c r="F1" s="36"/>
      <c r="G1" s="36"/>
    </row>
    <row r="2" spans="1:7" s="9" customFormat="1" ht="15">
      <c r="A2" s="549" t="str">
        <f>C13</f>
        <v>Telefonu, datoru UN TV tūkla sistēma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31.5">
      <c r="A13" s="118">
        <v>0</v>
      </c>
      <c r="B13" s="192"/>
      <c r="C13" s="93" t="str">
        <f>[2]kops2!C27</f>
        <v>Telefonu, datoru UN TV tūkla sistēma</v>
      </c>
      <c r="D13" s="144"/>
      <c r="E13" s="193"/>
      <c r="F13" s="23"/>
      <c r="G13" s="24"/>
    </row>
    <row r="14" spans="1:7" ht="38.25">
      <c r="A14" s="134"/>
      <c r="B14" s="135" t="s">
        <v>566</v>
      </c>
      <c r="C14" s="194" t="s">
        <v>567</v>
      </c>
      <c r="D14" s="162"/>
      <c r="E14" s="162"/>
      <c r="F14" s="21"/>
      <c r="G14" s="22"/>
    </row>
    <row r="15" spans="1:7">
      <c r="A15" s="134"/>
      <c r="B15" s="135"/>
      <c r="C15" s="195" t="s">
        <v>568</v>
      </c>
      <c r="D15" s="162"/>
      <c r="E15" s="162"/>
      <c r="F15" s="21"/>
      <c r="G15" s="22"/>
    </row>
    <row r="16" spans="1:7">
      <c r="A16" s="147">
        <v>1</v>
      </c>
      <c r="B16" s="135" t="s">
        <v>566</v>
      </c>
      <c r="C16" s="150" t="s">
        <v>569</v>
      </c>
      <c r="D16" s="196" t="s">
        <v>217</v>
      </c>
      <c r="E16" s="196">
        <v>1</v>
      </c>
      <c r="F16" s="21"/>
      <c r="G16" s="22"/>
    </row>
    <row r="17" spans="1:7">
      <c r="A17" s="147">
        <v>2</v>
      </c>
      <c r="B17" s="135" t="s">
        <v>566</v>
      </c>
      <c r="C17" s="150" t="s">
        <v>570</v>
      </c>
      <c r="D17" s="196" t="s">
        <v>217</v>
      </c>
      <c r="E17" s="196">
        <v>1</v>
      </c>
      <c r="F17" s="21"/>
      <c r="G17" s="22"/>
    </row>
    <row r="18" spans="1:7" ht="38.25">
      <c r="A18" s="147">
        <v>3</v>
      </c>
      <c r="B18" s="135" t="s">
        <v>566</v>
      </c>
      <c r="C18" s="172" t="s">
        <v>571</v>
      </c>
      <c r="D18" s="196" t="s">
        <v>217</v>
      </c>
      <c r="E18" s="196">
        <v>1</v>
      </c>
      <c r="F18" s="21"/>
      <c r="G18" s="22"/>
    </row>
    <row r="19" spans="1:7">
      <c r="A19" s="147">
        <v>4</v>
      </c>
      <c r="B19" s="135" t="s">
        <v>566</v>
      </c>
      <c r="C19" s="150" t="s">
        <v>572</v>
      </c>
      <c r="D19" s="196" t="s">
        <v>130</v>
      </c>
      <c r="E19" s="196">
        <v>3</v>
      </c>
      <c r="F19" s="21"/>
      <c r="G19" s="22"/>
    </row>
    <row r="20" spans="1:7">
      <c r="A20" s="147">
        <v>5</v>
      </c>
      <c r="B20" s="135" t="s">
        <v>566</v>
      </c>
      <c r="C20" s="150" t="s">
        <v>573</v>
      </c>
      <c r="D20" s="196" t="s">
        <v>130</v>
      </c>
      <c r="E20" s="196">
        <v>1</v>
      </c>
      <c r="F20" s="21"/>
      <c r="G20" s="22"/>
    </row>
    <row r="21" spans="1:7">
      <c r="A21" s="147">
        <v>6</v>
      </c>
      <c r="B21" s="135" t="s">
        <v>566</v>
      </c>
      <c r="C21" s="150" t="s">
        <v>574</v>
      </c>
      <c r="D21" s="196" t="s">
        <v>130</v>
      </c>
      <c r="E21" s="196">
        <v>1</v>
      </c>
      <c r="F21" s="21"/>
      <c r="G21" s="22"/>
    </row>
    <row r="22" spans="1:7">
      <c r="A22" s="147">
        <v>7</v>
      </c>
      <c r="B22" s="135" t="s">
        <v>566</v>
      </c>
      <c r="C22" s="150" t="s">
        <v>575</v>
      </c>
      <c r="D22" s="196" t="s">
        <v>130</v>
      </c>
      <c r="E22" s="196">
        <v>1</v>
      </c>
      <c r="F22" s="21"/>
      <c r="G22" s="22"/>
    </row>
    <row r="23" spans="1:7">
      <c r="A23" s="147">
        <v>8</v>
      </c>
      <c r="B23" s="135" t="s">
        <v>566</v>
      </c>
      <c r="C23" s="150" t="s">
        <v>576</v>
      </c>
      <c r="D23" s="196" t="s">
        <v>130</v>
      </c>
      <c r="E23" s="196">
        <v>1</v>
      </c>
      <c r="F23" s="21"/>
      <c r="G23" s="22"/>
    </row>
    <row r="24" spans="1:7">
      <c r="A24" s="147">
        <v>9</v>
      </c>
      <c r="B24" s="135" t="s">
        <v>566</v>
      </c>
      <c r="C24" s="150" t="s">
        <v>577</v>
      </c>
      <c r="D24" s="196" t="s">
        <v>130</v>
      </c>
      <c r="E24" s="196">
        <v>1</v>
      </c>
      <c r="F24" s="21"/>
      <c r="G24" s="22"/>
    </row>
    <row r="25" spans="1:7" ht="25.5">
      <c r="A25" s="147">
        <v>10</v>
      </c>
      <c r="B25" s="135" t="s">
        <v>566</v>
      </c>
      <c r="C25" s="172" t="s">
        <v>578</v>
      </c>
      <c r="D25" s="196" t="s">
        <v>217</v>
      </c>
      <c r="E25" s="196">
        <v>1</v>
      </c>
      <c r="F25" s="21"/>
      <c r="G25" s="22"/>
    </row>
    <row r="26" spans="1:7" ht="25.5">
      <c r="A26" s="147">
        <v>11</v>
      </c>
      <c r="B26" s="135" t="s">
        <v>566</v>
      </c>
      <c r="C26" s="172" t="s">
        <v>579</v>
      </c>
      <c r="D26" s="196" t="s">
        <v>130</v>
      </c>
      <c r="E26" s="196">
        <v>5</v>
      </c>
      <c r="F26" s="21"/>
      <c r="G26" s="22"/>
    </row>
    <row r="27" spans="1:7">
      <c r="A27" s="147">
        <v>12</v>
      </c>
      <c r="B27" s="135" t="s">
        <v>566</v>
      </c>
      <c r="C27" s="150" t="s">
        <v>580</v>
      </c>
      <c r="D27" s="196" t="s">
        <v>130</v>
      </c>
      <c r="E27" s="196">
        <v>3</v>
      </c>
      <c r="F27" s="21"/>
      <c r="G27" s="22"/>
    </row>
    <row r="28" spans="1:7">
      <c r="A28" s="147">
        <v>13</v>
      </c>
      <c r="B28" s="135" t="s">
        <v>566</v>
      </c>
      <c r="C28" s="150" t="s">
        <v>581</v>
      </c>
      <c r="D28" s="196" t="s">
        <v>582</v>
      </c>
      <c r="E28" s="196">
        <v>610</v>
      </c>
      <c r="F28" s="21"/>
      <c r="G28" s="22"/>
    </row>
    <row r="29" spans="1:7">
      <c r="A29" s="147">
        <v>14</v>
      </c>
      <c r="B29" s="135" t="s">
        <v>566</v>
      </c>
      <c r="C29" s="150" t="s">
        <v>583</v>
      </c>
      <c r="D29" s="196" t="s">
        <v>582</v>
      </c>
      <c r="E29" s="196">
        <v>160</v>
      </c>
      <c r="F29" s="21"/>
      <c r="G29" s="22"/>
    </row>
    <row r="30" spans="1:7">
      <c r="A30" s="147">
        <v>15</v>
      </c>
      <c r="B30" s="135" t="s">
        <v>566</v>
      </c>
      <c r="C30" s="150" t="s">
        <v>584</v>
      </c>
      <c r="D30" s="196" t="s">
        <v>582</v>
      </c>
      <c r="E30" s="196">
        <v>100</v>
      </c>
      <c r="F30" s="21"/>
      <c r="G30" s="22"/>
    </row>
    <row r="31" spans="1:7">
      <c r="A31" s="147">
        <v>16</v>
      </c>
      <c r="B31" s="135" t="s">
        <v>566</v>
      </c>
      <c r="C31" s="150" t="s">
        <v>585</v>
      </c>
      <c r="D31" s="196" t="s">
        <v>582</v>
      </c>
      <c r="E31" s="196">
        <v>300</v>
      </c>
      <c r="F31" s="21"/>
      <c r="G31" s="22"/>
    </row>
    <row r="32" spans="1:7">
      <c r="A32" s="147">
        <v>17</v>
      </c>
      <c r="B32" s="135" t="s">
        <v>566</v>
      </c>
      <c r="C32" s="150" t="s">
        <v>586</v>
      </c>
      <c r="D32" s="196" t="s">
        <v>582</v>
      </c>
      <c r="E32" s="196">
        <v>100</v>
      </c>
      <c r="F32" s="21"/>
      <c r="G32" s="22"/>
    </row>
    <row r="33" spans="1:7">
      <c r="A33" s="147">
        <v>18</v>
      </c>
      <c r="B33" s="135" t="s">
        <v>566</v>
      </c>
      <c r="C33" s="150" t="s">
        <v>587</v>
      </c>
      <c r="D33" s="196" t="s">
        <v>582</v>
      </c>
      <c r="E33" s="196">
        <v>10</v>
      </c>
      <c r="F33" s="21"/>
      <c r="G33" s="22"/>
    </row>
    <row r="34" spans="1:7">
      <c r="A34" s="147">
        <v>19</v>
      </c>
      <c r="B34" s="135" t="s">
        <v>566</v>
      </c>
      <c r="C34" s="150" t="s">
        <v>588</v>
      </c>
      <c r="D34" s="196" t="s">
        <v>217</v>
      </c>
      <c r="E34" s="196">
        <v>1</v>
      </c>
      <c r="F34" s="21"/>
      <c r="G34" s="22"/>
    </row>
    <row r="35" spans="1:7">
      <c r="A35" s="147">
        <v>20</v>
      </c>
      <c r="B35" s="135" t="s">
        <v>566</v>
      </c>
      <c r="C35" s="150" t="s">
        <v>589</v>
      </c>
      <c r="D35" s="196" t="s">
        <v>590</v>
      </c>
      <c r="E35" s="196">
        <v>1</v>
      </c>
      <c r="F35" s="21"/>
      <c r="G35" s="22"/>
    </row>
    <row r="36" spans="1:7">
      <c r="A36" s="147">
        <v>21</v>
      </c>
      <c r="B36" s="135" t="s">
        <v>566</v>
      </c>
      <c r="C36" s="150" t="s">
        <v>591</v>
      </c>
      <c r="D36" s="196" t="s">
        <v>590</v>
      </c>
      <c r="E36" s="196">
        <v>1</v>
      </c>
      <c r="F36" s="21"/>
      <c r="G36" s="22"/>
    </row>
    <row r="37" spans="1:7">
      <c r="A37" s="134"/>
      <c r="B37" s="135"/>
      <c r="C37" s="194"/>
      <c r="D37" s="197"/>
      <c r="E37" s="197"/>
      <c r="F37" s="21"/>
      <c r="G37" s="22"/>
    </row>
    <row r="38" spans="1:7">
      <c r="A38" s="134"/>
      <c r="B38" s="135"/>
      <c r="C38" s="195" t="s">
        <v>592</v>
      </c>
      <c r="D38" s="197"/>
      <c r="E38" s="197"/>
      <c r="F38" s="21"/>
      <c r="G38" s="22"/>
    </row>
    <row r="39" spans="1:7">
      <c r="A39" s="147">
        <v>1</v>
      </c>
      <c r="B39" s="135" t="s">
        <v>566</v>
      </c>
      <c r="C39" s="150" t="s">
        <v>593</v>
      </c>
      <c r="D39" s="196" t="s">
        <v>217</v>
      </c>
      <c r="E39" s="196">
        <v>1</v>
      </c>
      <c r="F39" s="21"/>
      <c r="G39" s="22"/>
    </row>
    <row r="40" spans="1:7">
      <c r="A40" s="147">
        <v>2</v>
      </c>
      <c r="B40" s="135" t="s">
        <v>566</v>
      </c>
      <c r="C40" s="150" t="s">
        <v>594</v>
      </c>
      <c r="D40" s="196" t="s">
        <v>217</v>
      </c>
      <c r="E40" s="196">
        <v>1</v>
      </c>
      <c r="F40" s="21"/>
      <c r="G40" s="22"/>
    </row>
    <row r="41" spans="1:7">
      <c r="A41" s="147">
        <v>3</v>
      </c>
      <c r="B41" s="135" t="s">
        <v>566</v>
      </c>
      <c r="C41" s="150" t="s">
        <v>595</v>
      </c>
      <c r="D41" s="196" t="s">
        <v>130</v>
      </c>
      <c r="E41" s="196">
        <v>1</v>
      </c>
      <c r="F41" s="21"/>
      <c r="G41" s="22"/>
    </row>
    <row r="42" spans="1:7">
      <c r="A42" s="147">
        <v>4</v>
      </c>
      <c r="B42" s="135" t="s">
        <v>566</v>
      </c>
      <c r="C42" s="150" t="s">
        <v>596</v>
      </c>
      <c r="D42" s="196" t="s">
        <v>130</v>
      </c>
      <c r="E42" s="196">
        <v>1</v>
      </c>
      <c r="F42" s="21"/>
      <c r="G42" s="22"/>
    </row>
    <row r="43" spans="1:7">
      <c r="A43" s="147">
        <v>5</v>
      </c>
      <c r="B43" s="135" t="s">
        <v>566</v>
      </c>
      <c r="C43" s="150" t="s">
        <v>597</v>
      </c>
      <c r="D43" s="196" t="s">
        <v>130</v>
      </c>
      <c r="E43" s="196">
        <v>1</v>
      </c>
      <c r="F43" s="21"/>
      <c r="G43" s="22"/>
    </row>
    <row r="44" spans="1:7">
      <c r="A44" s="147">
        <v>6</v>
      </c>
      <c r="B44" s="135" t="s">
        <v>566</v>
      </c>
      <c r="C44" s="150" t="s">
        <v>598</v>
      </c>
      <c r="D44" s="196" t="s">
        <v>130</v>
      </c>
      <c r="E44" s="196">
        <v>1</v>
      </c>
      <c r="F44" s="21"/>
      <c r="G44" s="22"/>
    </row>
    <row r="45" spans="1:7">
      <c r="A45" s="147">
        <v>7</v>
      </c>
      <c r="B45" s="135" t="s">
        <v>566</v>
      </c>
      <c r="C45" s="150" t="s">
        <v>599</v>
      </c>
      <c r="D45" s="196" t="s">
        <v>130</v>
      </c>
      <c r="E45" s="196">
        <v>2</v>
      </c>
      <c r="F45" s="21"/>
      <c r="G45" s="22"/>
    </row>
    <row r="46" spans="1:7">
      <c r="A46" s="147">
        <v>8</v>
      </c>
      <c r="B46" s="135" t="s">
        <v>566</v>
      </c>
      <c r="C46" s="150" t="s">
        <v>600</v>
      </c>
      <c r="D46" s="196" t="s">
        <v>130</v>
      </c>
      <c r="E46" s="196">
        <v>1</v>
      </c>
      <c r="F46" s="21"/>
      <c r="G46" s="22"/>
    </row>
    <row r="47" spans="1:7">
      <c r="A47" s="147">
        <v>9</v>
      </c>
      <c r="B47" s="135" t="s">
        <v>566</v>
      </c>
      <c r="C47" s="150" t="s">
        <v>601</v>
      </c>
      <c r="D47" s="196" t="s">
        <v>130</v>
      </c>
      <c r="E47" s="196">
        <v>1</v>
      </c>
      <c r="F47" s="21"/>
      <c r="G47" s="22"/>
    </row>
    <row r="48" spans="1:7" ht="25.5">
      <c r="A48" s="147">
        <v>10</v>
      </c>
      <c r="B48" s="135" t="s">
        <v>566</v>
      </c>
      <c r="C48" s="172" t="s">
        <v>602</v>
      </c>
      <c r="D48" s="196" t="s">
        <v>217</v>
      </c>
      <c r="E48" s="196">
        <v>1</v>
      </c>
      <c r="F48" s="21"/>
      <c r="G48" s="22"/>
    </row>
    <row r="49" spans="1:7">
      <c r="A49" s="147">
        <v>11</v>
      </c>
      <c r="B49" s="135" t="s">
        <v>566</v>
      </c>
      <c r="C49" s="150" t="s">
        <v>603</v>
      </c>
      <c r="D49" s="196" t="s">
        <v>130</v>
      </c>
      <c r="E49" s="196">
        <v>5</v>
      </c>
      <c r="F49" s="21"/>
      <c r="G49" s="22"/>
    </row>
    <row r="50" spans="1:7">
      <c r="A50" s="147">
        <v>12</v>
      </c>
      <c r="B50" s="135" t="s">
        <v>566</v>
      </c>
      <c r="C50" s="150" t="s">
        <v>604</v>
      </c>
      <c r="D50" s="196" t="s">
        <v>582</v>
      </c>
      <c r="E50" s="196">
        <v>550</v>
      </c>
      <c r="F50" s="21"/>
      <c r="G50" s="22"/>
    </row>
    <row r="51" spans="1:7">
      <c r="A51" s="147">
        <v>13</v>
      </c>
      <c r="B51" s="135" t="s">
        <v>566</v>
      </c>
      <c r="C51" s="150" t="s">
        <v>587</v>
      </c>
      <c r="D51" s="196" t="s">
        <v>582</v>
      </c>
      <c r="E51" s="196">
        <v>10</v>
      </c>
      <c r="F51" s="21"/>
      <c r="G51" s="22"/>
    </row>
    <row r="52" spans="1:7">
      <c r="A52" s="147">
        <v>14</v>
      </c>
      <c r="B52" s="135" t="s">
        <v>566</v>
      </c>
      <c r="C52" s="150" t="s">
        <v>585</v>
      </c>
      <c r="D52" s="196" t="s">
        <v>582</v>
      </c>
      <c r="E52" s="196">
        <v>100</v>
      </c>
      <c r="F52" s="21"/>
      <c r="G52" s="22"/>
    </row>
    <row r="53" spans="1:7">
      <c r="A53" s="147">
        <v>15</v>
      </c>
      <c r="B53" s="135" t="s">
        <v>566</v>
      </c>
      <c r="C53" s="150" t="s">
        <v>588</v>
      </c>
      <c r="D53" s="196" t="s">
        <v>217</v>
      </c>
      <c r="E53" s="196">
        <v>1</v>
      </c>
      <c r="F53" s="21"/>
      <c r="G53" s="22"/>
    </row>
    <row r="54" spans="1:7">
      <c r="A54" s="147">
        <v>16</v>
      </c>
      <c r="B54" s="135" t="s">
        <v>566</v>
      </c>
      <c r="C54" s="150" t="s">
        <v>589</v>
      </c>
      <c r="D54" s="196" t="s">
        <v>590</v>
      </c>
      <c r="E54" s="196">
        <v>1</v>
      </c>
      <c r="F54" s="21"/>
      <c r="G54" s="22"/>
    </row>
    <row r="55" spans="1:7" s="17" customFormat="1">
      <c r="A55" s="28"/>
      <c r="B55" s="29"/>
      <c r="C55" s="30"/>
      <c r="D55" s="31"/>
      <c r="E55" s="12"/>
      <c r="F55" s="12"/>
      <c r="G55" s="32"/>
    </row>
    <row r="56" spans="1:7" ht="15">
      <c r="A56" s="13"/>
      <c r="B56" s="13"/>
      <c r="C56" s="18"/>
      <c r="D56" s="19"/>
      <c r="E56" s="18"/>
      <c r="F56" s="18" t="s">
        <v>6</v>
      </c>
      <c r="G56" s="20"/>
    </row>
    <row r="58" spans="1:7" s="25" customFormat="1" ht="12.75" customHeight="1">
      <c r="B58" s="26" t="str">
        <f>'1,1'!B32</f>
        <v>Piezīmes:</v>
      </c>
    </row>
    <row r="59" spans="1:7" s="25" customFormat="1" ht="45" customHeight="1">
      <c r="A59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59" s="546"/>
      <c r="C59" s="546"/>
      <c r="D59" s="546"/>
      <c r="E59" s="546"/>
      <c r="F59" s="546"/>
      <c r="G59" s="546"/>
    </row>
    <row r="60" spans="1:7" s="25" customFormat="1" ht="12.75" customHeight="1">
      <c r="A60" s="546">
        <f>'1,1'!$A$34</f>
        <v>0</v>
      </c>
      <c r="B60" s="546"/>
      <c r="C60" s="546"/>
      <c r="D60" s="546"/>
      <c r="E60" s="546"/>
      <c r="F60" s="546"/>
      <c r="G60" s="546"/>
    </row>
    <row r="61" spans="1:7" s="25" customFormat="1" ht="12.75" customHeight="1">
      <c r="B61" s="27"/>
    </row>
    <row r="62" spans="1:7">
      <c r="B62" s="5" t="str">
        <f>'1,1'!B36</f>
        <v>Sastādīja:</v>
      </c>
    </row>
    <row r="63" spans="1:7" ht="14.25" customHeight="1">
      <c r="C63" s="33" t="str">
        <f>'1,1'!C37</f>
        <v>Arnis Gailītis</v>
      </c>
    </row>
    <row r="64" spans="1:7">
      <c r="C64" s="34" t="str">
        <f>'1,1'!C38</f>
        <v>Sertifikāta Nr.20-5643</v>
      </c>
      <c r="D64" s="35"/>
    </row>
    <row r="67" spans="2:3">
      <c r="B67" s="40" t="str">
        <f>'1,1'!B41</f>
        <v>Pārbaudīja:</v>
      </c>
      <c r="C67" s="3"/>
    </row>
    <row r="68" spans="2:3">
      <c r="B68" s="2"/>
      <c r="C68" s="33" t="str">
        <f>'1,1'!C42</f>
        <v>Aivars Mauriņš</v>
      </c>
    </row>
    <row r="69" spans="2:3">
      <c r="B69" s="1"/>
      <c r="C69" s="34" t="str">
        <f>'1,1'!C43</f>
        <v>Sertifikāta Nr.20-5957</v>
      </c>
    </row>
  </sheetData>
  <mergeCells count="15">
    <mergeCell ref="A60:G60"/>
    <mergeCell ref="A59:G5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1"/>
  <sheetViews>
    <sheetView showZeros="0" view="pageBreakPreview" zoomScale="80" zoomScaleNormal="100" zoomScaleSheetLayoutView="80" workbookViewId="0">
      <selection activeCell="A13" sqref="A13:E36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2.8</v>
      </c>
      <c r="E1" s="36"/>
      <c r="F1" s="36"/>
      <c r="G1" s="36"/>
    </row>
    <row r="2" spans="1:7" s="9" customFormat="1" ht="15">
      <c r="A2" s="549" t="str">
        <f>C13</f>
        <v>Apsardzes un piekļuves sistēmas iekārtas un ierīces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31.5">
      <c r="A13" s="118"/>
      <c r="B13" s="131"/>
      <c r="C13" s="93" t="str">
        <f>[2]kops2!C28</f>
        <v>Apsardzes un piekļuves sistēmas iekārtas un ierīces</v>
      </c>
      <c r="D13" s="143"/>
      <c r="E13" s="144"/>
      <c r="F13" s="23"/>
      <c r="G13" s="24"/>
    </row>
    <row r="14" spans="1:7" ht="25.5">
      <c r="A14" s="134"/>
      <c r="B14" s="135" t="s">
        <v>566</v>
      </c>
      <c r="C14" s="145" t="s">
        <v>605</v>
      </c>
      <c r="D14" s="162"/>
      <c r="E14" s="162"/>
      <c r="F14" s="21"/>
      <c r="G14" s="22"/>
    </row>
    <row r="15" spans="1:7">
      <c r="A15" s="147">
        <v>1</v>
      </c>
      <c r="B15" s="135" t="s">
        <v>566</v>
      </c>
      <c r="C15" s="150" t="s">
        <v>606</v>
      </c>
      <c r="D15" s="196" t="s">
        <v>217</v>
      </c>
      <c r="E15" s="196">
        <v>1</v>
      </c>
      <c r="F15" s="21"/>
      <c r="G15" s="22"/>
    </row>
    <row r="16" spans="1:7">
      <c r="A16" s="147">
        <v>2</v>
      </c>
      <c r="B16" s="135" t="s">
        <v>566</v>
      </c>
      <c r="C16" s="150" t="s">
        <v>607</v>
      </c>
      <c r="D16" s="196" t="s">
        <v>217</v>
      </c>
      <c r="E16" s="196">
        <v>5</v>
      </c>
      <c r="F16" s="21"/>
      <c r="G16" s="22"/>
    </row>
    <row r="17" spans="1:7">
      <c r="A17" s="147">
        <v>3</v>
      </c>
      <c r="B17" s="135" t="s">
        <v>566</v>
      </c>
      <c r="C17" s="150" t="s">
        <v>608</v>
      </c>
      <c r="D17" s="196" t="s">
        <v>217</v>
      </c>
      <c r="E17" s="196">
        <v>6</v>
      </c>
      <c r="F17" s="21"/>
      <c r="G17" s="22"/>
    </row>
    <row r="18" spans="1:7">
      <c r="A18" s="147">
        <v>4</v>
      </c>
      <c r="B18" s="135" t="s">
        <v>566</v>
      </c>
      <c r="C18" s="150" t="s">
        <v>609</v>
      </c>
      <c r="D18" s="196" t="s">
        <v>217</v>
      </c>
      <c r="E18" s="196">
        <v>1</v>
      </c>
      <c r="F18" s="21"/>
      <c r="G18" s="22"/>
    </row>
    <row r="19" spans="1:7">
      <c r="A19" s="147">
        <v>5</v>
      </c>
      <c r="B19" s="135" t="s">
        <v>566</v>
      </c>
      <c r="C19" s="150" t="s">
        <v>610</v>
      </c>
      <c r="D19" s="196" t="s">
        <v>217</v>
      </c>
      <c r="E19" s="196">
        <v>1</v>
      </c>
      <c r="F19" s="21"/>
      <c r="G19" s="22"/>
    </row>
    <row r="20" spans="1:7">
      <c r="A20" s="147">
        <v>6</v>
      </c>
      <c r="B20" s="135" t="s">
        <v>566</v>
      </c>
      <c r="C20" s="150" t="s">
        <v>611</v>
      </c>
      <c r="D20" s="196" t="s">
        <v>217</v>
      </c>
      <c r="E20" s="196">
        <v>2</v>
      </c>
      <c r="F20" s="21"/>
      <c r="G20" s="22"/>
    </row>
    <row r="21" spans="1:7">
      <c r="A21" s="147">
        <v>7</v>
      </c>
      <c r="B21" s="135" t="s">
        <v>566</v>
      </c>
      <c r="C21" s="150" t="s">
        <v>612</v>
      </c>
      <c r="D21" s="196" t="s">
        <v>217</v>
      </c>
      <c r="E21" s="196">
        <v>1</v>
      </c>
      <c r="F21" s="21"/>
      <c r="G21" s="22"/>
    </row>
    <row r="22" spans="1:7">
      <c r="A22" s="147">
        <v>8</v>
      </c>
      <c r="B22" s="135" t="s">
        <v>566</v>
      </c>
      <c r="C22" s="150" t="s">
        <v>613</v>
      </c>
      <c r="D22" s="196" t="s">
        <v>130</v>
      </c>
      <c r="E22" s="196">
        <v>3</v>
      </c>
      <c r="F22" s="21"/>
      <c r="G22" s="22"/>
    </row>
    <row r="23" spans="1:7">
      <c r="A23" s="147">
        <v>9</v>
      </c>
      <c r="B23" s="135" t="s">
        <v>566</v>
      </c>
      <c r="C23" s="150" t="s">
        <v>614</v>
      </c>
      <c r="D23" s="196" t="s">
        <v>130</v>
      </c>
      <c r="E23" s="196">
        <v>6</v>
      </c>
      <c r="F23" s="21"/>
      <c r="G23" s="22"/>
    </row>
    <row r="24" spans="1:7">
      <c r="A24" s="147">
        <v>10</v>
      </c>
      <c r="B24" s="135" t="s">
        <v>566</v>
      </c>
      <c r="C24" s="150" t="s">
        <v>615</v>
      </c>
      <c r="D24" s="196" t="s">
        <v>130</v>
      </c>
      <c r="E24" s="196">
        <v>22</v>
      </c>
      <c r="F24" s="21"/>
      <c r="G24" s="22"/>
    </row>
    <row r="25" spans="1:7">
      <c r="A25" s="147">
        <v>11</v>
      </c>
      <c r="B25" s="135" t="s">
        <v>566</v>
      </c>
      <c r="C25" s="150" t="s">
        <v>616</v>
      </c>
      <c r="D25" s="196" t="s">
        <v>130</v>
      </c>
      <c r="E25" s="196">
        <v>28</v>
      </c>
      <c r="F25" s="21"/>
      <c r="G25" s="22"/>
    </row>
    <row r="26" spans="1:7">
      <c r="A26" s="147">
        <v>12</v>
      </c>
      <c r="B26" s="135" t="s">
        <v>566</v>
      </c>
      <c r="C26" s="150" t="s">
        <v>617</v>
      </c>
      <c r="D26" s="196" t="s">
        <v>590</v>
      </c>
      <c r="E26" s="196">
        <v>5</v>
      </c>
      <c r="F26" s="21"/>
      <c r="G26" s="22"/>
    </row>
    <row r="27" spans="1:7">
      <c r="A27" s="147">
        <v>13</v>
      </c>
      <c r="B27" s="135" t="s">
        <v>566</v>
      </c>
      <c r="C27" s="150" t="s">
        <v>618</v>
      </c>
      <c r="D27" s="196" t="s">
        <v>130</v>
      </c>
      <c r="E27" s="196">
        <v>19</v>
      </c>
      <c r="F27" s="21"/>
      <c r="G27" s="22"/>
    </row>
    <row r="28" spans="1:7">
      <c r="A28" s="147">
        <v>14</v>
      </c>
      <c r="B28" s="135" t="s">
        <v>566</v>
      </c>
      <c r="C28" s="150" t="s">
        <v>619</v>
      </c>
      <c r="D28" s="196" t="s">
        <v>130</v>
      </c>
      <c r="E28" s="196">
        <v>2</v>
      </c>
      <c r="F28" s="21"/>
      <c r="G28" s="22"/>
    </row>
    <row r="29" spans="1:7">
      <c r="A29" s="147">
        <v>15</v>
      </c>
      <c r="B29" s="135" t="s">
        <v>566</v>
      </c>
      <c r="C29" s="150" t="s">
        <v>620</v>
      </c>
      <c r="D29" s="196" t="s">
        <v>130</v>
      </c>
      <c r="E29" s="196">
        <v>1</v>
      </c>
      <c r="F29" s="21"/>
      <c r="G29" s="22"/>
    </row>
    <row r="30" spans="1:7">
      <c r="A30" s="147">
        <v>16</v>
      </c>
      <c r="B30" s="135" t="s">
        <v>566</v>
      </c>
      <c r="C30" s="150" t="s">
        <v>621</v>
      </c>
      <c r="D30" s="196" t="s">
        <v>130</v>
      </c>
      <c r="E30" s="196">
        <v>15</v>
      </c>
      <c r="F30" s="21"/>
      <c r="G30" s="22"/>
    </row>
    <row r="31" spans="1:7">
      <c r="A31" s="147">
        <v>17</v>
      </c>
      <c r="B31" s="135" t="s">
        <v>566</v>
      </c>
      <c r="C31" s="150" t="s">
        <v>622</v>
      </c>
      <c r="D31" s="196" t="s">
        <v>582</v>
      </c>
      <c r="E31" s="196">
        <v>400</v>
      </c>
      <c r="F31" s="21"/>
      <c r="G31" s="22"/>
    </row>
    <row r="32" spans="1:7">
      <c r="A32" s="147">
        <v>18</v>
      </c>
      <c r="B32" s="135" t="s">
        <v>566</v>
      </c>
      <c r="C32" s="150" t="s">
        <v>623</v>
      </c>
      <c r="D32" s="196" t="s">
        <v>582</v>
      </c>
      <c r="E32" s="196">
        <v>900</v>
      </c>
      <c r="F32" s="21"/>
      <c r="G32" s="22"/>
    </row>
    <row r="33" spans="1:7">
      <c r="A33" s="147">
        <v>19</v>
      </c>
      <c r="B33" s="135" t="s">
        <v>566</v>
      </c>
      <c r="C33" s="150" t="s">
        <v>623</v>
      </c>
      <c r="D33" s="196" t="s">
        <v>582</v>
      </c>
      <c r="E33" s="196">
        <v>100</v>
      </c>
      <c r="F33" s="21"/>
      <c r="G33" s="22"/>
    </row>
    <row r="34" spans="1:7">
      <c r="A34" s="147">
        <v>20</v>
      </c>
      <c r="B34" s="135" t="s">
        <v>566</v>
      </c>
      <c r="C34" s="150" t="s">
        <v>624</v>
      </c>
      <c r="D34" s="196" t="s">
        <v>582</v>
      </c>
      <c r="E34" s="196">
        <v>30</v>
      </c>
      <c r="F34" s="21"/>
      <c r="G34" s="22"/>
    </row>
    <row r="35" spans="1:7">
      <c r="A35" s="147">
        <v>21</v>
      </c>
      <c r="B35" s="135" t="s">
        <v>566</v>
      </c>
      <c r="C35" s="150" t="s">
        <v>625</v>
      </c>
      <c r="D35" s="196" t="s">
        <v>582</v>
      </c>
      <c r="E35" s="196">
        <v>150</v>
      </c>
      <c r="F35" s="21"/>
      <c r="G35" s="22"/>
    </row>
    <row r="36" spans="1:7">
      <c r="A36" s="147">
        <v>22</v>
      </c>
      <c r="B36" s="135" t="s">
        <v>566</v>
      </c>
      <c r="C36" s="150" t="s">
        <v>626</v>
      </c>
      <c r="D36" s="196" t="s">
        <v>217</v>
      </c>
      <c r="E36" s="196">
        <v>1</v>
      </c>
      <c r="F36" s="21"/>
      <c r="G36" s="22"/>
    </row>
    <row r="37" spans="1:7" s="17" customFormat="1">
      <c r="A37" s="28"/>
      <c r="B37" s="29"/>
      <c r="C37" s="30"/>
      <c r="D37" s="31"/>
      <c r="E37" s="12"/>
      <c r="F37" s="12"/>
      <c r="G37" s="32"/>
    </row>
    <row r="38" spans="1:7" ht="15">
      <c r="A38" s="13"/>
      <c r="B38" s="13"/>
      <c r="C38" s="18"/>
      <c r="D38" s="19"/>
      <c r="E38" s="18"/>
      <c r="F38" s="18" t="s">
        <v>6</v>
      </c>
      <c r="G38" s="20"/>
    </row>
    <row r="40" spans="1:7" s="25" customFormat="1" ht="12.75" customHeight="1">
      <c r="B40" s="26" t="str">
        <f>'1,1'!B32</f>
        <v>Piezīmes:</v>
      </c>
    </row>
    <row r="41" spans="1:7" s="25" customFormat="1" ht="45" customHeight="1">
      <c r="A41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1" s="546"/>
      <c r="C41" s="546"/>
      <c r="D41" s="546"/>
      <c r="E41" s="546"/>
      <c r="F41" s="546"/>
      <c r="G41" s="546"/>
    </row>
    <row r="42" spans="1:7" s="25" customFormat="1" ht="12.75" customHeight="1">
      <c r="A42" s="546">
        <f>'1,1'!$A$34</f>
        <v>0</v>
      </c>
      <c r="B42" s="546"/>
      <c r="C42" s="546"/>
      <c r="D42" s="546"/>
      <c r="E42" s="546"/>
      <c r="F42" s="546"/>
      <c r="G42" s="546"/>
    </row>
    <row r="43" spans="1:7" s="25" customFormat="1" ht="12.75" customHeight="1">
      <c r="B43" s="27"/>
    </row>
    <row r="44" spans="1:7">
      <c r="B44" s="5" t="str">
        <f>'1,1'!B36</f>
        <v>Sastādīja:</v>
      </c>
    </row>
    <row r="45" spans="1:7" ht="14.25" customHeight="1">
      <c r="C45" s="33" t="str">
        <f>'1,1'!C37</f>
        <v>Arnis Gailītis</v>
      </c>
    </row>
    <row r="46" spans="1:7">
      <c r="C46" s="34" t="str">
        <f>'1,1'!C38</f>
        <v>Sertifikāta Nr.20-5643</v>
      </c>
      <c r="D46" s="35"/>
    </row>
    <row r="49" spans="2:3">
      <c r="B49" s="40" t="str">
        <f>'1,1'!B41</f>
        <v>Pārbaudīja:</v>
      </c>
      <c r="C49" s="3"/>
    </row>
    <row r="50" spans="2:3">
      <c r="B50" s="2"/>
      <c r="C50" s="33" t="str">
        <f>'1,1'!C42</f>
        <v>Aivars Mauriņš</v>
      </c>
    </row>
    <row r="51" spans="2:3">
      <c r="B51" s="1"/>
      <c r="C51" s="34" t="str">
        <f>'1,1'!C43</f>
        <v>Sertifikāta Nr.20-5957</v>
      </c>
    </row>
  </sheetData>
  <mergeCells count="15">
    <mergeCell ref="A42:G42"/>
    <mergeCell ref="A41:G41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9"/>
  <sheetViews>
    <sheetView showZeros="0" view="pageBreakPreview" topLeftCell="A13" zoomScale="80" zoomScaleNormal="100" zoomScaleSheetLayoutView="80" workbookViewId="0">
      <selection activeCell="F28" sqref="F28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2.9</v>
      </c>
      <c r="E1" s="36"/>
      <c r="F1" s="36"/>
      <c r="G1" s="36"/>
    </row>
    <row r="2" spans="1:7" s="9" customFormat="1" ht="15">
      <c r="A2" s="549" t="str">
        <f>C13</f>
        <v>Ugunsgrēka atklāšanas un trauksmes signalizācijas sistēma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31.5">
      <c r="A13" s="118"/>
      <c r="B13" s="131">
        <v>0</v>
      </c>
      <c r="C13" s="93" t="str">
        <f>[2]kops2!C29</f>
        <v>Ugunsgrēka atklāšanas un trauksmes signalizācijas sistēma</v>
      </c>
      <c r="D13" s="143"/>
      <c r="E13" s="144"/>
      <c r="F13" s="23"/>
      <c r="G13" s="24"/>
    </row>
    <row r="14" spans="1:7" ht="38.25">
      <c r="A14" s="134"/>
      <c r="B14" s="120" t="s">
        <v>566</v>
      </c>
      <c r="C14" s="198" t="s">
        <v>627</v>
      </c>
      <c r="D14" s="199"/>
      <c r="E14" s="199"/>
      <c r="F14" s="21"/>
      <c r="G14" s="22"/>
    </row>
    <row r="15" spans="1:7">
      <c r="A15" s="134"/>
      <c r="B15" s="120"/>
      <c r="C15" s="200" t="s">
        <v>628</v>
      </c>
      <c r="D15" s="199"/>
      <c r="E15" s="199"/>
      <c r="F15" s="21"/>
      <c r="G15" s="22"/>
    </row>
    <row r="16" spans="1:7" ht="25.5">
      <c r="A16" s="147">
        <v>1</v>
      </c>
      <c r="B16" s="120" t="s">
        <v>566</v>
      </c>
      <c r="C16" s="141" t="s">
        <v>629</v>
      </c>
      <c r="D16" s="201" t="s">
        <v>217</v>
      </c>
      <c r="E16" s="202">
        <v>1</v>
      </c>
      <c r="F16" s="21"/>
      <c r="G16" s="22"/>
    </row>
    <row r="17" spans="1:7" ht="25.5">
      <c r="A17" s="147">
        <v>2</v>
      </c>
      <c r="B17" s="120" t="s">
        <v>566</v>
      </c>
      <c r="C17" s="141" t="s">
        <v>630</v>
      </c>
      <c r="D17" s="201" t="s">
        <v>217</v>
      </c>
      <c r="E17" s="202">
        <v>1</v>
      </c>
      <c r="F17" s="21"/>
      <c r="G17" s="22"/>
    </row>
    <row r="18" spans="1:7" ht="25.5">
      <c r="A18" s="147">
        <v>3</v>
      </c>
      <c r="B18" s="120" t="s">
        <v>566</v>
      </c>
      <c r="C18" s="141" t="s">
        <v>631</v>
      </c>
      <c r="D18" s="201" t="s">
        <v>130</v>
      </c>
      <c r="E18" s="202">
        <v>66</v>
      </c>
      <c r="F18" s="21"/>
      <c r="G18" s="22"/>
    </row>
    <row r="19" spans="1:7" ht="25.5">
      <c r="A19" s="147">
        <v>4</v>
      </c>
      <c r="B19" s="120" t="s">
        <v>566</v>
      </c>
      <c r="C19" s="141" t="s">
        <v>632</v>
      </c>
      <c r="D19" s="201" t="s">
        <v>130</v>
      </c>
      <c r="E19" s="202">
        <v>4</v>
      </c>
      <c r="F19" s="21"/>
      <c r="G19" s="22"/>
    </row>
    <row r="20" spans="1:7" ht="25.5">
      <c r="A20" s="147">
        <v>5</v>
      </c>
      <c r="B20" s="120" t="s">
        <v>566</v>
      </c>
      <c r="C20" s="141" t="s">
        <v>633</v>
      </c>
      <c r="D20" s="201" t="s">
        <v>130</v>
      </c>
      <c r="E20" s="202">
        <v>66</v>
      </c>
      <c r="F20" s="21"/>
      <c r="G20" s="22"/>
    </row>
    <row r="21" spans="1:7" ht="25.5">
      <c r="A21" s="147">
        <v>6</v>
      </c>
      <c r="B21" s="120" t="s">
        <v>566</v>
      </c>
      <c r="C21" s="141" t="s">
        <v>634</v>
      </c>
      <c r="D21" s="201" t="s">
        <v>130</v>
      </c>
      <c r="E21" s="202">
        <v>4</v>
      </c>
      <c r="F21" s="21"/>
      <c r="G21" s="22"/>
    </row>
    <row r="22" spans="1:7">
      <c r="A22" s="147">
        <v>7</v>
      </c>
      <c r="B22" s="120" t="s">
        <v>566</v>
      </c>
      <c r="C22" s="140" t="s">
        <v>635</v>
      </c>
      <c r="D22" s="201" t="s">
        <v>130</v>
      </c>
      <c r="E22" s="202">
        <v>8</v>
      </c>
      <c r="F22" s="21"/>
      <c r="G22" s="22"/>
    </row>
    <row r="23" spans="1:7" ht="25.5">
      <c r="A23" s="147">
        <v>8</v>
      </c>
      <c r="B23" s="120" t="s">
        <v>566</v>
      </c>
      <c r="C23" s="141" t="s">
        <v>636</v>
      </c>
      <c r="D23" s="201" t="s">
        <v>130</v>
      </c>
      <c r="E23" s="202">
        <v>13</v>
      </c>
      <c r="F23" s="21"/>
      <c r="G23" s="22"/>
    </row>
    <row r="24" spans="1:7" ht="25.5">
      <c r="A24" s="147">
        <v>9</v>
      </c>
      <c r="B24" s="120" t="s">
        <v>566</v>
      </c>
      <c r="C24" s="141" t="s">
        <v>637</v>
      </c>
      <c r="D24" s="201" t="s">
        <v>130</v>
      </c>
      <c r="E24" s="202">
        <v>14</v>
      </c>
      <c r="F24" s="21"/>
      <c r="G24" s="22"/>
    </row>
    <row r="25" spans="1:7" ht="25.5">
      <c r="A25" s="147">
        <v>10</v>
      </c>
      <c r="B25" s="120" t="s">
        <v>566</v>
      </c>
      <c r="C25" s="141" t="s">
        <v>638</v>
      </c>
      <c r="D25" s="201" t="s">
        <v>130</v>
      </c>
      <c r="E25" s="202">
        <v>3</v>
      </c>
      <c r="F25" s="21"/>
      <c r="G25" s="22"/>
    </row>
    <row r="26" spans="1:7">
      <c r="A26" s="147">
        <v>11</v>
      </c>
      <c r="B26" s="120" t="s">
        <v>566</v>
      </c>
      <c r="C26" s="140" t="s">
        <v>639</v>
      </c>
      <c r="D26" s="201" t="s">
        <v>130</v>
      </c>
      <c r="E26" s="202">
        <v>1</v>
      </c>
      <c r="F26" s="21"/>
      <c r="G26" s="22"/>
    </row>
    <row r="27" spans="1:7">
      <c r="A27" s="147">
        <v>12</v>
      </c>
      <c r="B27" s="120" t="s">
        <v>566</v>
      </c>
      <c r="C27" s="140" t="s">
        <v>640</v>
      </c>
      <c r="D27" s="201" t="s">
        <v>130</v>
      </c>
      <c r="E27" s="202">
        <v>14</v>
      </c>
      <c r="F27" s="21"/>
      <c r="G27" s="22"/>
    </row>
    <row r="28" spans="1:7">
      <c r="A28" s="147">
        <v>13</v>
      </c>
      <c r="B28" s="120" t="s">
        <v>566</v>
      </c>
      <c r="C28" s="140" t="s">
        <v>641</v>
      </c>
      <c r="D28" s="201" t="s">
        <v>130</v>
      </c>
      <c r="E28" s="202">
        <v>1</v>
      </c>
      <c r="F28" s="21"/>
      <c r="G28" s="22"/>
    </row>
    <row r="29" spans="1:7">
      <c r="A29" s="147">
        <v>14</v>
      </c>
      <c r="B29" s="120" t="s">
        <v>566</v>
      </c>
      <c r="C29" s="203" t="s">
        <v>642</v>
      </c>
      <c r="D29" s="201" t="s">
        <v>130</v>
      </c>
      <c r="E29" s="202">
        <v>4</v>
      </c>
      <c r="F29" s="21"/>
      <c r="G29" s="22"/>
    </row>
    <row r="30" spans="1:7">
      <c r="A30" s="147">
        <v>15</v>
      </c>
      <c r="B30" s="120" t="s">
        <v>566</v>
      </c>
      <c r="C30" s="140" t="s">
        <v>643</v>
      </c>
      <c r="D30" s="201" t="s">
        <v>217</v>
      </c>
      <c r="E30" s="202">
        <v>1</v>
      </c>
      <c r="F30" s="21"/>
      <c r="G30" s="22"/>
    </row>
    <row r="31" spans="1:7">
      <c r="A31" s="147"/>
      <c r="B31" s="120"/>
      <c r="C31" s="204" t="s">
        <v>1116</v>
      </c>
      <c r="D31" s="201"/>
      <c r="E31" s="202"/>
      <c r="F31" s="21"/>
      <c r="G31" s="22"/>
    </row>
    <row r="32" spans="1:7">
      <c r="A32" s="147">
        <v>1</v>
      </c>
      <c r="B32" s="120" t="s">
        <v>566</v>
      </c>
      <c r="C32" s="140" t="s">
        <v>1117</v>
      </c>
      <c r="D32" s="201" t="s">
        <v>44</v>
      </c>
      <c r="E32" s="202">
        <v>1</v>
      </c>
      <c r="F32" s="21"/>
      <c r="G32" s="22"/>
    </row>
    <row r="33" spans="1:7">
      <c r="A33" s="147">
        <v>2</v>
      </c>
      <c r="B33" s="120" t="s">
        <v>566</v>
      </c>
      <c r="C33" s="140" t="s">
        <v>1118</v>
      </c>
      <c r="D33" s="201" t="s">
        <v>44</v>
      </c>
      <c r="E33" s="202">
        <v>1</v>
      </c>
      <c r="F33" s="21"/>
      <c r="G33" s="22"/>
    </row>
    <row r="34" spans="1:7">
      <c r="A34" s="147">
        <v>3</v>
      </c>
      <c r="B34" s="120" t="s">
        <v>566</v>
      </c>
      <c r="C34" s="140" t="s">
        <v>1119</v>
      </c>
      <c r="D34" s="201" t="s">
        <v>44</v>
      </c>
      <c r="E34" s="202">
        <v>6</v>
      </c>
      <c r="F34" s="21"/>
      <c r="G34" s="22"/>
    </row>
    <row r="35" spans="1:7">
      <c r="A35" s="147"/>
      <c r="B35" s="120"/>
      <c r="C35" s="204" t="s">
        <v>1120</v>
      </c>
      <c r="D35" s="201"/>
      <c r="E35" s="202"/>
      <c r="F35" s="21"/>
      <c r="G35" s="22"/>
    </row>
    <row r="36" spans="1:7" ht="25.5">
      <c r="A36" s="147">
        <v>1</v>
      </c>
      <c r="B36" s="120" t="s">
        <v>566</v>
      </c>
      <c r="C36" s="141" t="s">
        <v>1121</v>
      </c>
      <c r="D36" s="201" t="s">
        <v>44</v>
      </c>
      <c r="E36" s="202">
        <v>1</v>
      </c>
      <c r="F36" s="21"/>
      <c r="G36" s="22"/>
    </row>
    <row r="37" spans="1:7">
      <c r="A37" s="147">
        <v>2</v>
      </c>
      <c r="B37" s="120" t="s">
        <v>566</v>
      </c>
      <c r="C37" s="140" t="s">
        <v>1122</v>
      </c>
      <c r="D37" s="201" t="s">
        <v>44</v>
      </c>
      <c r="E37" s="202">
        <v>2</v>
      </c>
      <c r="F37" s="21"/>
      <c r="G37" s="22"/>
    </row>
    <row r="38" spans="1:7">
      <c r="A38" s="147">
        <v>3</v>
      </c>
      <c r="B38" s="120" t="s">
        <v>566</v>
      </c>
      <c r="C38" s="140" t="s">
        <v>1123</v>
      </c>
      <c r="D38" s="201" t="s">
        <v>44</v>
      </c>
      <c r="E38" s="202">
        <v>2</v>
      </c>
      <c r="F38" s="21"/>
      <c r="G38" s="22"/>
    </row>
    <row r="39" spans="1:7" ht="25.5">
      <c r="A39" s="147">
        <v>4</v>
      </c>
      <c r="B39" s="120"/>
      <c r="C39" s="141" t="s">
        <v>1124</v>
      </c>
      <c r="D39" s="201" t="s">
        <v>44</v>
      </c>
      <c r="E39" s="202">
        <v>2</v>
      </c>
      <c r="F39" s="21"/>
      <c r="G39" s="22"/>
    </row>
    <row r="40" spans="1:7">
      <c r="A40" s="134"/>
      <c r="B40" s="120"/>
      <c r="C40" s="200" t="s">
        <v>644</v>
      </c>
      <c r="D40" s="140"/>
      <c r="E40" s="189"/>
      <c r="F40" s="21"/>
      <c r="G40" s="22"/>
    </row>
    <row r="41" spans="1:7">
      <c r="A41" s="147">
        <v>1</v>
      </c>
      <c r="B41" s="120" t="s">
        <v>566</v>
      </c>
      <c r="C41" s="140" t="s">
        <v>645</v>
      </c>
      <c r="D41" s="201" t="s">
        <v>582</v>
      </c>
      <c r="E41" s="202">
        <v>1350</v>
      </c>
      <c r="F41" s="21"/>
      <c r="G41" s="22"/>
    </row>
    <row r="42" spans="1:7">
      <c r="A42" s="147">
        <v>2</v>
      </c>
      <c r="B42" s="120" t="s">
        <v>566</v>
      </c>
      <c r="C42" s="140" t="s">
        <v>646</v>
      </c>
      <c r="D42" s="201" t="s">
        <v>582</v>
      </c>
      <c r="E42" s="202">
        <v>600</v>
      </c>
      <c r="F42" s="21"/>
      <c r="G42" s="22"/>
    </row>
    <row r="43" spans="1:7">
      <c r="A43" s="147">
        <v>3</v>
      </c>
      <c r="B43" s="120" t="s">
        <v>566</v>
      </c>
      <c r="C43" s="140" t="s">
        <v>647</v>
      </c>
      <c r="D43" s="201" t="s">
        <v>582</v>
      </c>
      <c r="E43" s="202">
        <v>200</v>
      </c>
      <c r="F43" s="21"/>
      <c r="G43" s="22"/>
    </row>
    <row r="44" spans="1:7">
      <c r="A44" s="147">
        <v>4</v>
      </c>
      <c r="B44" s="120" t="s">
        <v>566</v>
      </c>
      <c r="C44" s="140" t="s">
        <v>648</v>
      </c>
      <c r="D44" s="201" t="s">
        <v>582</v>
      </c>
      <c r="E44" s="202">
        <v>250</v>
      </c>
      <c r="F44" s="21"/>
      <c r="G44" s="22"/>
    </row>
    <row r="45" spans="1:7">
      <c r="A45" s="147">
        <v>5</v>
      </c>
      <c r="B45" s="120" t="s">
        <v>566</v>
      </c>
      <c r="C45" s="140" t="s">
        <v>1125</v>
      </c>
      <c r="D45" s="201" t="s">
        <v>582</v>
      </c>
      <c r="E45" s="202">
        <v>150</v>
      </c>
      <c r="F45" s="21"/>
      <c r="G45" s="22"/>
    </row>
    <row r="46" spans="1:7">
      <c r="A46" s="147">
        <v>6</v>
      </c>
      <c r="B46" s="120" t="s">
        <v>566</v>
      </c>
      <c r="C46" s="140" t="s">
        <v>649</v>
      </c>
      <c r="D46" s="201" t="s">
        <v>582</v>
      </c>
      <c r="E46" s="202">
        <v>300</v>
      </c>
      <c r="F46" s="21"/>
      <c r="G46" s="22"/>
    </row>
    <row r="47" spans="1:7">
      <c r="A47" s="147">
        <v>7</v>
      </c>
      <c r="B47" s="120" t="s">
        <v>566</v>
      </c>
      <c r="C47" s="140" t="s">
        <v>650</v>
      </c>
      <c r="D47" s="201" t="s">
        <v>582</v>
      </c>
      <c r="E47" s="202">
        <v>20</v>
      </c>
      <c r="F47" s="21"/>
      <c r="G47" s="22"/>
    </row>
    <row r="48" spans="1:7">
      <c r="A48" s="147">
        <v>8</v>
      </c>
      <c r="B48" s="120" t="s">
        <v>566</v>
      </c>
      <c r="C48" s="140" t="s">
        <v>1126</v>
      </c>
      <c r="D48" s="201" t="s">
        <v>582</v>
      </c>
      <c r="E48" s="202">
        <v>40</v>
      </c>
      <c r="F48" s="21"/>
      <c r="G48" s="22"/>
    </row>
    <row r="49" spans="1:7">
      <c r="A49" s="147">
        <v>9</v>
      </c>
      <c r="B49" s="120" t="s">
        <v>566</v>
      </c>
      <c r="C49" s="140" t="s">
        <v>51</v>
      </c>
      <c r="D49" s="201" t="s">
        <v>44</v>
      </c>
      <c r="E49" s="202">
        <v>1</v>
      </c>
      <c r="F49" s="21"/>
      <c r="G49" s="22"/>
    </row>
    <row r="50" spans="1:7">
      <c r="A50" s="147"/>
      <c r="B50" s="120"/>
      <c r="C50" s="198"/>
      <c r="D50" s="199"/>
      <c r="E50" s="205"/>
      <c r="F50" s="21"/>
      <c r="G50" s="22"/>
    </row>
    <row r="51" spans="1:7">
      <c r="A51" s="147"/>
      <c r="B51" s="120"/>
      <c r="C51" s="200" t="s">
        <v>651</v>
      </c>
      <c r="D51" s="199"/>
      <c r="E51" s="205"/>
      <c r="F51" s="21"/>
      <c r="G51" s="22"/>
    </row>
    <row r="52" spans="1:7">
      <c r="A52" s="147">
        <v>1</v>
      </c>
      <c r="B52" s="120" t="s">
        <v>566</v>
      </c>
      <c r="C52" s="140" t="s">
        <v>652</v>
      </c>
      <c r="D52" s="201" t="s">
        <v>590</v>
      </c>
      <c r="E52" s="202">
        <v>1</v>
      </c>
      <c r="F52" s="21"/>
      <c r="G52" s="22"/>
    </row>
    <row r="53" spans="1:7" ht="25.5">
      <c r="A53" s="147">
        <v>2</v>
      </c>
      <c r="B53" s="120" t="s">
        <v>566</v>
      </c>
      <c r="C53" s="141" t="s">
        <v>653</v>
      </c>
      <c r="D53" s="201" t="s">
        <v>590</v>
      </c>
      <c r="E53" s="202">
        <v>2</v>
      </c>
      <c r="F53" s="21"/>
      <c r="G53" s="22"/>
    </row>
    <row r="54" spans="1:7">
      <c r="A54" s="147">
        <v>3</v>
      </c>
      <c r="B54" s="120" t="s">
        <v>566</v>
      </c>
      <c r="C54" s="140" t="s">
        <v>654</v>
      </c>
      <c r="D54" s="201" t="s">
        <v>590</v>
      </c>
      <c r="E54" s="202">
        <v>1</v>
      </c>
      <c r="F54" s="21"/>
      <c r="G54" s="22"/>
    </row>
    <row r="55" spans="1:7" ht="25.5">
      <c r="A55" s="147">
        <v>4</v>
      </c>
      <c r="B55" s="120" t="s">
        <v>566</v>
      </c>
      <c r="C55" s="141" t="s">
        <v>655</v>
      </c>
      <c r="D55" s="201" t="s">
        <v>590</v>
      </c>
      <c r="E55" s="202">
        <v>1</v>
      </c>
      <c r="F55" s="21"/>
      <c r="G55" s="22"/>
    </row>
    <row r="56" spans="1:7">
      <c r="A56" s="147">
        <v>5</v>
      </c>
      <c r="B56" s="120" t="s">
        <v>566</v>
      </c>
      <c r="C56" s="140" t="s">
        <v>656</v>
      </c>
      <c r="D56" s="201" t="s">
        <v>590</v>
      </c>
      <c r="E56" s="202">
        <v>1</v>
      </c>
      <c r="F56" s="21"/>
      <c r="G56" s="22"/>
    </row>
    <row r="57" spans="1:7">
      <c r="A57" s="147">
        <v>6</v>
      </c>
      <c r="B57" s="120" t="s">
        <v>566</v>
      </c>
      <c r="C57" s="140" t="s">
        <v>657</v>
      </c>
      <c r="D57" s="201" t="s">
        <v>590</v>
      </c>
      <c r="E57" s="202">
        <v>2</v>
      </c>
      <c r="F57" s="21"/>
      <c r="G57" s="22"/>
    </row>
    <row r="58" spans="1:7">
      <c r="A58" s="147">
        <v>7</v>
      </c>
      <c r="B58" s="120" t="s">
        <v>566</v>
      </c>
      <c r="C58" s="140" t="s">
        <v>658</v>
      </c>
      <c r="D58" s="201" t="s">
        <v>590</v>
      </c>
      <c r="E58" s="202">
        <v>6</v>
      </c>
      <c r="F58" s="21"/>
      <c r="G58" s="22"/>
    </row>
    <row r="59" spans="1:7">
      <c r="A59" s="147">
        <v>8</v>
      </c>
      <c r="B59" s="120" t="s">
        <v>566</v>
      </c>
      <c r="C59" s="140" t="s">
        <v>659</v>
      </c>
      <c r="D59" s="201" t="s">
        <v>590</v>
      </c>
      <c r="E59" s="202">
        <v>1</v>
      </c>
      <c r="F59" s="21"/>
      <c r="G59" s="22"/>
    </row>
    <row r="60" spans="1:7">
      <c r="A60" s="147">
        <v>9</v>
      </c>
      <c r="B60" s="120" t="s">
        <v>566</v>
      </c>
      <c r="C60" s="140" t="s">
        <v>660</v>
      </c>
      <c r="D60" s="201" t="s">
        <v>590</v>
      </c>
      <c r="E60" s="202">
        <v>1</v>
      </c>
      <c r="F60" s="21"/>
      <c r="G60" s="22"/>
    </row>
    <row r="61" spans="1:7">
      <c r="A61" s="147">
        <v>10</v>
      </c>
      <c r="B61" s="120" t="s">
        <v>566</v>
      </c>
      <c r="C61" s="140" t="s">
        <v>661</v>
      </c>
      <c r="D61" s="201" t="s">
        <v>590</v>
      </c>
      <c r="E61" s="202">
        <v>1</v>
      </c>
      <c r="F61" s="21"/>
      <c r="G61" s="22"/>
    </row>
    <row r="62" spans="1:7">
      <c r="A62" s="147">
        <v>11</v>
      </c>
      <c r="B62" s="120" t="s">
        <v>566</v>
      </c>
      <c r="C62" s="140" t="s">
        <v>662</v>
      </c>
      <c r="D62" s="201" t="s">
        <v>590</v>
      </c>
      <c r="E62" s="202">
        <v>1</v>
      </c>
      <c r="F62" s="21"/>
      <c r="G62" s="22"/>
    </row>
    <row r="63" spans="1:7" ht="25.5">
      <c r="A63" s="147">
        <v>12</v>
      </c>
      <c r="B63" s="120" t="s">
        <v>566</v>
      </c>
      <c r="C63" s="141" t="s">
        <v>663</v>
      </c>
      <c r="D63" s="201" t="s">
        <v>590</v>
      </c>
      <c r="E63" s="202">
        <v>33</v>
      </c>
      <c r="F63" s="21"/>
      <c r="G63" s="22"/>
    </row>
    <row r="64" spans="1:7" ht="25.5">
      <c r="A64" s="147">
        <v>13</v>
      </c>
      <c r="B64" s="120" t="s">
        <v>566</v>
      </c>
      <c r="C64" s="141" t="s">
        <v>664</v>
      </c>
      <c r="D64" s="201" t="s">
        <v>590</v>
      </c>
      <c r="E64" s="202">
        <v>10</v>
      </c>
      <c r="F64" s="52"/>
      <c r="G64" s="53"/>
    </row>
    <row r="65" spans="1:7" ht="25.5">
      <c r="A65" s="147">
        <v>14</v>
      </c>
      <c r="B65" s="120" t="s">
        <v>566</v>
      </c>
      <c r="C65" s="141" t="s">
        <v>665</v>
      </c>
      <c r="D65" s="201" t="s">
        <v>590</v>
      </c>
      <c r="E65" s="202">
        <v>10</v>
      </c>
      <c r="F65" s="52"/>
      <c r="G65" s="53"/>
    </row>
    <row r="66" spans="1:7" ht="25.5">
      <c r="A66" s="147">
        <v>15</v>
      </c>
      <c r="B66" s="120" t="s">
        <v>566</v>
      </c>
      <c r="C66" s="141" t="s">
        <v>666</v>
      </c>
      <c r="D66" s="201" t="s">
        <v>590</v>
      </c>
      <c r="E66" s="202">
        <v>10</v>
      </c>
      <c r="F66" s="52"/>
      <c r="G66" s="53"/>
    </row>
    <row r="67" spans="1:7">
      <c r="A67" s="147">
        <v>16</v>
      </c>
      <c r="B67" s="120" t="s">
        <v>566</v>
      </c>
      <c r="C67" s="140" t="s">
        <v>667</v>
      </c>
      <c r="D67" s="201" t="s">
        <v>590</v>
      </c>
      <c r="E67" s="202">
        <v>43</v>
      </c>
      <c r="F67" s="52"/>
      <c r="G67" s="53"/>
    </row>
    <row r="68" spans="1:7">
      <c r="A68" s="147">
        <v>17</v>
      </c>
      <c r="B68" s="120" t="s">
        <v>566</v>
      </c>
      <c r="C68" s="140" t="s">
        <v>668</v>
      </c>
      <c r="D68" s="201" t="s">
        <v>582</v>
      </c>
      <c r="E68" s="202">
        <v>1000</v>
      </c>
      <c r="F68" s="52"/>
      <c r="G68" s="53"/>
    </row>
    <row r="69" spans="1:7">
      <c r="A69" s="147">
        <v>18</v>
      </c>
      <c r="B69" s="120" t="s">
        <v>566</v>
      </c>
      <c r="C69" s="140" t="s">
        <v>669</v>
      </c>
      <c r="D69" s="201" t="s">
        <v>33</v>
      </c>
      <c r="E69" s="202">
        <v>100</v>
      </c>
      <c r="F69" s="52"/>
      <c r="G69" s="53"/>
    </row>
    <row r="70" spans="1:7">
      <c r="A70" s="147">
        <v>19</v>
      </c>
      <c r="B70" s="120" t="s">
        <v>566</v>
      </c>
      <c r="C70" s="140" t="s">
        <v>670</v>
      </c>
      <c r="D70" s="201" t="s">
        <v>582</v>
      </c>
      <c r="E70" s="202">
        <v>25</v>
      </c>
      <c r="F70" s="52"/>
      <c r="G70" s="53"/>
    </row>
    <row r="71" spans="1:7">
      <c r="A71" s="147">
        <v>20</v>
      </c>
      <c r="B71" s="120" t="s">
        <v>566</v>
      </c>
      <c r="C71" s="140" t="s">
        <v>671</v>
      </c>
      <c r="D71" s="201" t="s">
        <v>582</v>
      </c>
      <c r="E71" s="202">
        <v>600</v>
      </c>
      <c r="F71" s="52"/>
      <c r="G71" s="53"/>
    </row>
    <row r="72" spans="1:7">
      <c r="A72" s="147">
        <v>21</v>
      </c>
      <c r="B72" s="120" t="s">
        <v>566</v>
      </c>
      <c r="C72" s="140" t="s">
        <v>672</v>
      </c>
      <c r="D72" s="201" t="s">
        <v>582</v>
      </c>
      <c r="E72" s="202">
        <v>100</v>
      </c>
      <c r="F72" s="52"/>
      <c r="G72" s="53"/>
    </row>
    <row r="73" spans="1:7">
      <c r="A73" s="147">
        <v>22</v>
      </c>
      <c r="B73" s="120" t="s">
        <v>566</v>
      </c>
      <c r="C73" s="140" t="s">
        <v>588</v>
      </c>
      <c r="D73" s="201" t="s">
        <v>217</v>
      </c>
      <c r="E73" s="202">
        <v>3</v>
      </c>
      <c r="F73" s="52"/>
      <c r="G73" s="53"/>
    </row>
    <row r="74" spans="1:7">
      <c r="A74" s="147">
        <v>23</v>
      </c>
      <c r="B74" s="120" t="s">
        <v>673</v>
      </c>
      <c r="C74" s="140" t="s">
        <v>589</v>
      </c>
      <c r="D74" s="201" t="s">
        <v>217</v>
      </c>
      <c r="E74" s="202">
        <v>1</v>
      </c>
      <c r="F74" s="52"/>
      <c r="G74" s="53"/>
    </row>
    <row r="75" spans="1:7" s="17" customFormat="1">
      <c r="A75" s="28"/>
      <c r="B75" s="29"/>
      <c r="C75" s="30"/>
      <c r="D75" s="31"/>
      <c r="E75" s="12"/>
      <c r="F75" s="12"/>
      <c r="G75" s="32"/>
    </row>
    <row r="76" spans="1:7" ht="15">
      <c r="A76" s="13"/>
      <c r="B76" s="13"/>
      <c r="C76" s="18"/>
      <c r="D76" s="19"/>
      <c r="E76" s="18"/>
      <c r="F76" s="18" t="s">
        <v>6</v>
      </c>
      <c r="G76" s="20"/>
    </row>
    <row r="78" spans="1:7" s="25" customFormat="1" ht="12.75" customHeight="1">
      <c r="B78" s="26" t="str">
        <f>'1,1'!B32</f>
        <v>Piezīmes:</v>
      </c>
    </row>
    <row r="79" spans="1:7" s="25" customFormat="1" ht="45" customHeight="1">
      <c r="A79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9" s="546"/>
      <c r="C79" s="546"/>
      <c r="D79" s="546"/>
      <c r="E79" s="546"/>
      <c r="F79" s="546"/>
      <c r="G79" s="546"/>
    </row>
    <row r="80" spans="1:7" s="25" customFormat="1" ht="12.75" customHeight="1">
      <c r="A80" s="546">
        <f>'1,1'!$A$34</f>
        <v>0</v>
      </c>
      <c r="B80" s="546"/>
      <c r="C80" s="546"/>
      <c r="D80" s="546"/>
      <c r="E80" s="546"/>
      <c r="F80" s="546"/>
      <c r="G80" s="546"/>
    </row>
    <row r="81" spans="2:4" s="25" customFormat="1" ht="12.75" customHeight="1">
      <c r="B81" s="27"/>
    </row>
    <row r="82" spans="2:4">
      <c r="B82" s="5" t="str">
        <f>'1,1'!B36</f>
        <v>Sastādīja:</v>
      </c>
    </row>
    <row r="83" spans="2:4" ht="14.25" customHeight="1">
      <c r="C83" s="33" t="str">
        <f>'1,1'!C37</f>
        <v>Arnis Gailītis</v>
      </c>
    </row>
    <row r="84" spans="2:4">
      <c r="C84" s="34" t="str">
        <f>'1,1'!C38</f>
        <v>Sertifikāta Nr.20-5643</v>
      </c>
      <c r="D84" s="35"/>
    </row>
    <row r="87" spans="2:4">
      <c r="B87" s="40" t="str">
        <f>'1,1'!B41</f>
        <v>Pārbaudīja:</v>
      </c>
      <c r="C87" s="3"/>
    </row>
    <row r="88" spans="2:4">
      <c r="B88" s="2"/>
      <c r="C88" s="33" t="str">
        <f>'1,1'!C42</f>
        <v>Aivars Mauriņš</v>
      </c>
    </row>
    <row r="89" spans="2:4">
      <c r="B89" s="1"/>
      <c r="C89" s="34" t="str">
        <f>'1,1'!C43</f>
        <v>Sertifikāta Nr.20-5957</v>
      </c>
    </row>
  </sheetData>
  <mergeCells count="15">
    <mergeCell ref="A80:G80"/>
    <mergeCell ref="A79:G7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0"/>
  <sheetViews>
    <sheetView showZeros="0" view="pageBreakPreview" topLeftCell="A19" zoomScale="80" zoomScaleNormal="100" zoomScaleSheetLayoutView="80" workbookViewId="0">
      <selection activeCell="A13" sqref="A13:E3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2.1</v>
      </c>
      <c r="E1" s="36"/>
      <c r="F1" s="36"/>
      <c r="G1" s="36"/>
    </row>
    <row r="2" spans="1:7" s="9" customFormat="1" ht="15">
      <c r="A2" s="549" t="str">
        <f>C13</f>
        <v>Videonovērošanas sistēmas iekārtas un ierīces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31.5">
      <c r="A13" s="118"/>
      <c r="B13" s="131">
        <v>0</v>
      </c>
      <c r="C13" s="93" t="str">
        <f>[2]kops2!C30</f>
        <v>Videonovērošanas sistēmas iekārtas un ierīces</v>
      </c>
      <c r="D13" s="143"/>
      <c r="E13" s="144"/>
      <c r="F13" s="23"/>
      <c r="G13" s="24"/>
    </row>
    <row r="14" spans="1:7" ht="25.5">
      <c r="A14" s="134"/>
      <c r="B14" s="206"/>
      <c r="C14" s="145" t="s">
        <v>674</v>
      </c>
      <c r="D14" s="162"/>
      <c r="E14" s="162"/>
      <c r="F14" s="21"/>
      <c r="G14" s="22"/>
    </row>
    <row r="15" spans="1:7" ht="63.75">
      <c r="A15" s="147">
        <v>1</v>
      </c>
      <c r="B15" s="135" t="s">
        <v>566</v>
      </c>
      <c r="C15" s="172" t="s">
        <v>675</v>
      </c>
      <c r="D15" s="196" t="s">
        <v>590</v>
      </c>
      <c r="E15" s="196">
        <v>1</v>
      </c>
      <c r="F15" s="21"/>
      <c r="G15" s="22"/>
    </row>
    <row r="16" spans="1:7">
      <c r="A16" s="147">
        <v>2</v>
      </c>
      <c r="B16" s="135" t="s">
        <v>566</v>
      </c>
      <c r="C16" s="150" t="s">
        <v>676</v>
      </c>
      <c r="D16" s="196" t="s">
        <v>590</v>
      </c>
      <c r="E16" s="196">
        <v>2</v>
      </c>
      <c r="F16" s="21"/>
      <c r="G16" s="22"/>
    </row>
    <row r="17" spans="1:7">
      <c r="A17" s="147">
        <v>3</v>
      </c>
      <c r="B17" s="135" t="s">
        <v>566</v>
      </c>
      <c r="C17" s="150" t="s">
        <v>677</v>
      </c>
      <c r="D17" s="196" t="s">
        <v>130</v>
      </c>
      <c r="E17" s="196">
        <v>1</v>
      </c>
      <c r="F17" s="21"/>
      <c r="G17" s="22"/>
    </row>
    <row r="18" spans="1:7">
      <c r="A18" s="147">
        <v>4</v>
      </c>
      <c r="B18" s="135" t="s">
        <v>566</v>
      </c>
      <c r="C18" s="150" t="s">
        <v>678</v>
      </c>
      <c r="D18" s="196" t="s">
        <v>217</v>
      </c>
      <c r="E18" s="196">
        <v>2</v>
      </c>
      <c r="F18" s="21"/>
      <c r="G18" s="22"/>
    </row>
    <row r="19" spans="1:7">
      <c r="A19" s="147">
        <v>5</v>
      </c>
      <c r="B19" s="135" t="s">
        <v>566</v>
      </c>
      <c r="C19" s="150" t="s">
        <v>613</v>
      </c>
      <c r="D19" s="196" t="s">
        <v>130</v>
      </c>
      <c r="E19" s="196">
        <v>2</v>
      </c>
      <c r="F19" s="21"/>
      <c r="G19" s="22"/>
    </row>
    <row r="20" spans="1:7">
      <c r="A20" s="147">
        <v>6</v>
      </c>
      <c r="B20" s="135" t="s">
        <v>566</v>
      </c>
      <c r="C20" s="150" t="s">
        <v>679</v>
      </c>
      <c r="D20" s="196" t="s">
        <v>130</v>
      </c>
      <c r="E20" s="196">
        <v>1</v>
      </c>
      <c r="F20" s="21"/>
      <c r="G20" s="22"/>
    </row>
    <row r="21" spans="1:7" ht="51">
      <c r="A21" s="147">
        <v>7</v>
      </c>
      <c r="B21" s="135" t="s">
        <v>566</v>
      </c>
      <c r="C21" s="172" t="s">
        <v>680</v>
      </c>
      <c r="D21" s="165" t="s">
        <v>590</v>
      </c>
      <c r="E21" s="165">
        <v>7</v>
      </c>
      <c r="F21" s="21"/>
      <c r="G21" s="22"/>
    </row>
    <row r="22" spans="1:7" ht="63.75">
      <c r="A22" s="147">
        <v>8</v>
      </c>
      <c r="B22" s="135" t="s">
        <v>566</v>
      </c>
      <c r="C22" s="172" t="s">
        <v>681</v>
      </c>
      <c r="D22" s="165" t="s">
        <v>590</v>
      </c>
      <c r="E22" s="165">
        <v>9</v>
      </c>
      <c r="F22" s="21"/>
      <c r="G22" s="22"/>
    </row>
    <row r="23" spans="1:7">
      <c r="A23" s="147">
        <v>9</v>
      </c>
      <c r="B23" s="135" t="s">
        <v>566</v>
      </c>
      <c r="C23" s="150" t="s">
        <v>682</v>
      </c>
      <c r="D23" s="196" t="s">
        <v>130</v>
      </c>
      <c r="E23" s="196">
        <v>10</v>
      </c>
      <c r="F23" s="21"/>
      <c r="G23" s="22"/>
    </row>
    <row r="24" spans="1:7" ht="25.5">
      <c r="A24" s="147">
        <v>10</v>
      </c>
      <c r="B24" s="135" t="s">
        <v>566</v>
      </c>
      <c r="C24" s="172" t="s">
        <v>683</v>
      </c>
      <c r="D24" s="165" t="s">
        <v>130</v>
      </c>
      <c r="E24" s="165">
        <v>1</v>
      </c>
      <c r="F24" s="21"/>
      <c r="G24" s="22"/>
    </row>
    <row r="25" spans="1:7">
      <c r="A25" s="147">
        <v>11</v>
      </c>
      <c r="B25" s="135" t="s">
        <v>566</v>
      </c>
      <c r="C25" s="150" t="s">
        <v>684</v>
      </c>
      <c r="D25" s="196" t="s">
        <v>590</v>
      </c>
      <c r="E25" s="196">
        <v>16</v>
      </c>
      <c r="F25" s="21"/>
      <c r="G25" s="22"/>
    </row>
    <row r="26" spans="1:7">
      <c r="A26" s="147">
        <v>12</v>
      </c>
      <c r="B26" s="135" t="s">
        <v>566</v>
      </c>
      <c r="C26" s="150" t="s">
        <v>685</v>
      </c>
      <c r="D26" s="196" t="s">
        <v>590</v>
      </c>
      <c r="E26" s="196">
        <v>1</v>
      </c>
      <c r="F26" s="21"/>
      <c r="G26" s="22"/>
    </row>
    <row r="27" spans="1:7">
      <c r="A27" s="147">
        <v>13</v>
      </c>
      <c r="B27" s="135" t="s">
        <v>566</v>
      </c>
      <c r="C27" s="150" t="s">
        <v>686</v>
      </c>
      <c r="D27" s="196" t="s">
        <v>130</v>
      </c>
      <c r="E27" s="196">
        <v>32</v>
      </c>
      <c r="F27" s="21"/>
      <c r="G27" s="22"/>
    </row>
    <row r="28" spans="1:7">
      <c r="A28" s="147">
        <v>14</v>
      </c>
      <c r="B28" s="135" t="s">
        <v>566</v>
      </c>
      <c r="C28" s="150" t="s">
        <v>687</v>
      </c>
      <c r="D28" s="196" t="s">
        <v>130</v>
      </c>
      <c r="E28" s="196">
        <v>16</v>
      </c>
      <c r="F28" s="21"/>
      <c r="G28" s="22"/>
    </row>
    <row r="29" spans="1:7">
      <c r="A29" s="147">
        <v>15</v>
      </c>
      <c r="B29" s="135" t="s">
        <v>566</v>
      </c>
      <c r="C29" s="150" t="s">
        <v>688</v>
      </c>
      <c r="D29" s="196" t="s">
        <v>582</v>
      </c>
      <c r="E29" s="196">
        <v>200</v>
      </c>
      <c r="F29" s="21"/>
      <c r="G29" s="22"/>
    </row>
    <row r="30" spans="1:7">
      <c r="A30" s="147">
        <v>16</v>
      </c>
      <c r="B30" s="135" t="s">
        <v>566</v>
      </c>
      <c r="C30" s="150" t="s">
        <v>689</v>
      </c>
      <c r="D30" s="196" t="s">
        <v>582</v>
      </c>
      <c r="E30" s="196">
        <v>2000</v>
      </c>
      <c r="F30" s="21"/>
      <c r="G30" s="22"/>
    </row>
    <row r="31" spans="1:7">
      <c r="A31" s="147">
        <v>17</v>
      </c>
      <c r="B31" s="135" t="s">
        <v>566</v>
      </c>
      <c r="C31" s="150" t="s">
        <v>690</v>
      </c>
      <c r="D31" s="196" t="s">
        <v>33</v>
      </c>
      <c r="E31" s="196">
        <v>700</v>
      </c>
      <c r="F31" s="21"/>
      <c r="G31" s="22"/>
    </row>
    <row r="32" spans="1:7">
      <c r="A32" s="147">
        <v>18</v>
      </c>
      <c r="B32" s="135" t="s">
        <v>566</v>
      </c>
      <c r="C32" s="150" t="s">
        <v>691</v>
      </c>
      <c r="D32" s="196" t="s">
        <v>33</v>
      </c>
      <c r="E32" s="196">
        <v>30</v>
      </c>
      <c r="F32" s="21"/>
      <c r="G32" s="22"/>
    </row>
    <row r="33" spans="1:7">
      <c r="A33" s="147">
        <v>19</v>
      </c>
      <c r="B33" s="135" t="s">
        <v>566</v>
      </c>
      <c r="C33" s="150" t="s">
        <v>692</v>
      </c>
      <c r="D33" s="196" t="s">
        <v>582</v>
      </c>
      <c r="E33" s="196">
        <v>500</v>
      </c>
      <c r="F33" s="21"/>
      <c r="G33" s="22"/>
    </row>
    <row r="34" spans="1:7">
      <c r="A34" s="147">
        <v>20</v>
      </c>
      <c r="B34" s="135" t="s">
        <v>566</v>
      </c>
      <c r="C34" s="150" t="s">
        <v>588</v>
      </c>
      <c r="D34" s="196" t="s">
        <v>217</v>
      </c>
      <c r="E34" s="196">
        <v>1</v>
      </c>
      <c r="F34" s="21"/>
      <c r="G34" s="22"/>
    </row>
    <row r="35" spans="1:7">
      <c r="A35" s="147">
        <v>21</v>
      </c>
      <c r="B35" s="135" t="s">
        <v>566</v>
      </c>
      <c r="C35" s="150" t="s">
        <v>589</v>
      </c>
      <c r="D35" s="196" t="s">
        <v>217</v>
      </c>
      <c r="E35" s="196">
        <v>1</v>
      </c>
      <c r="F35" s="21"/>
      <c r="G35" s="22"/>
    </row>
    <row r="36" spans="1:7" s="17" customFormat="1">
      <c r="A36" s="28"/>
      <c r="B36" s="29"/>
      <c r="C36" s="30"/>
      <c r="D36" s="31"/>
      <c r="E36" s="12"/>
      <c r="F36" s="12"/>
      <c r="G36" s="32"/>
    </row>
    <row r="37" spans="1:7" ht="15">
      <c r="A37" s="13"/>
      <c r="B37" s="13"/>
      <c r="C37" s="18"/>
      <c r="D37" s="19"/>
      <c r="E37" s="18"/>
      <c r="F37" s="18" t="s">
        <v>6</v>
      </c>
      <c r="G37" s="20"/>
    </row>
    <row r="39" spans="1:7" s="25" customFormat="1" ht="12.75" customHeight="1">
      <c r="B39" s="26" t="str">
        <f>'1,1'!B32</f>
        <v>Piezīmes:</v>
      </c>
    </row>
    <row r="40" spans="1:7" s="25" customFormat="1" ht="45" customHeight="1">
      <c r="A40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0" s="546"/>
      <c r="C40" s="546"/>
      <c r="D40" s="546"/>
      <c r="E40" s="546"/>
      <c r="F40" s="546"/>
      <c r="G40" s="546"/>
    </row>
    <row r="41" spans="1:7" s="25" customFormat="1" ht="12.75" customHeight="1">
      <c r="A41" s="546">
        <f>'1,1'!$A$34</f>
        <v>0</v>
      </c>
      <c r="B41" s="546"/>
      <c r="C41" s="546"/>
      <c r="D41" s="546"/>
      <c r="E41" s="546"/>
      <c r="F41" s="546"/>
      <c r="G41" s="546"/>
    </row>
    <row r="42" spans="1:7" s="25" customFormat="1" ht="12.75" customHeight="1">
      <c r="B42" s="27"/>
    </row>
    <row r="43" spans="1:7">
      <c r="B43" s="5" t="str">
        <f>'1,1'!B36</f>
        <v>Sastādīja:</v>
      </c>
    </row>
    <row r="44" spans="1:7" ht="14.25" customHeight="1">
      <c r="C44" s="33" t="str">
        <f>'1,1'!C37</f>
        <v>Arnis Gailītis</v>
      </c>
    </row>
    <row r="45" spans="1:7">
      <c r="C45" s="34" t="str">
        <f>'1,1'!C38</f>
        <v>Sertifikāta Nr.20-5643</v>
      </c>
      <c r="D45" s="35"/>
    </row>
    <row r="48" spans="1:7">
      <c r="B48" s="40" t="str">
        <f>'1,1'!B41</f>
        <v>Pārbaudīja:</v>
      </c>
      <c r="C48" s="3"/>
    </row>
    <row r="49" spans="2:3">
      <c r="B49" s="2"/>
      <c r="C49" s="33" t="str">
        <f>'1,1'!C42</f>
        <v>Aivars Mauriņš</v>
      </c>
    </row>
    <row r="50" spans="2:3">
      <c r="B50" s="1"/>
      <c r="C50" s="34" t="str">
        <f>'1,1'!C43</f>
        <v>Sertifikāta Nr.20-5957</v>
      </c>
    </row>
  </sheetData>
  <mergeCells count="15">
    <mergeCell ref="A41:G41"/>
    <mergeCell ref="A40:G4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Zeros="0" view="pageBreakPreview" zoomScale="80" zoomScaleNormal="100" zoomScaleSheetLayoutView="80" workbookViewId="0">
      <selection activeCell="D23" sqref="D2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2.11</v>
      </c>
      <c r="E1" s="36"/>
      <c r="F1" s="36"/>
      <c r="G1" s="36"/>
    </row>
    <row r="2" spans="1:7" s="9" customFormat="1" ht="15">
      <c r="A2" s="549" t="str">
        <f>C13</f>
        <v>Lifts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45"/>
      <c r="B13" s="46">
        <v>0</v>
      </c>
      <c r="C13" s="44" t="s">
        <v>695</v>
      </c>
      <c r="D13" s="47"/>
      <c r="E13" s="48"/>
      <c r="F13" s="23"/>
      <c r="G13" s="24"/>
    </row>
    <row r="14" spans="1:7" ht="38.25">
      <c r="A14" s="49">
        <v>1</v>
      </c>
      <c r="B14" s="38" t="s">
        <v>673</v>
      </c>
      <c r="C14" s="50" t="s">
        <v>693</v>
      </c>
      <c r="D14" s="51" t="s">
        <v>694</v>
      </c>
      <c r="E14" s="39">
        <v>1</v>
      </c>
      <c r="F14" s="21"/>
      <c r="G14" s="22"/>
    </row>
    <row r="15" spans="1:7" s="17" customFormat="1">
      <c r="A15" s="28"/>
      <c r="B15" s="29"/>
      <c r="C15" s="30"/>
      <c r="D15" s="31"/>
      <c r="E15" s="12"/>
      <c r="F15" s="12"/>
      <c r="G15" s="32"/>
    </row>
    <row r="16" spans="1:7" ht="15">
      <c r="A16" s="13"/>
      <c r="B16" s="13"/>
      <c r="C16" s="18"/>
      <c r="D16" s="19"/>
      <c r="E16" s="18"/>
      <c r="F16" s="18" t="s">
        <v>6</v>
      </c>
      <c r="G16" s="20"/>
    </row>
    <row r="18" spans="1:7" s="25" customFormat="1" ht="12.75" customHeight="1">
      <c r="B18" s="26" t="str">
        <f>'1,1'!B32</f>
        <v>Piezīmes:</v>
      </c>
    </row>
    <row r="19" spans="1:7" s="25" customFormat="1" ht="45" customHeight="1">
      <c r="A19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9" s="546"/>
      <c r="C19" s="546"/>
      <c r="D19" s="546"/>
      <c r="E19" s="546"/>
      <c r="F19" s="546"/>
      <c r="G19" s="546"/>
    </row>
    <row r="20" spans="1:7" s="25" customFormat="1" ht="12.75" customHeight="1">
      <c r="A20" s="546">
        <f>'1,1'!$A$34</f>
        <v>0</v>
      </c>
      <c r="B20" s="546"/>
      <c r="C20" s="546"/>
      <c r="D20" s="546"/>
      <c r="E20" s="546"/>
      <c r="F20" s="546"/>
      <c r="G20" s="546"/>
    </row>
    <row r="21" spans="1:7" s="25" customFormat="1" ht="12.75" customHeight="1">
      <c r="B21" s="27"/>
    </row>
    <row r="22" spans="1:7">
      <c r="B22" s="5" t="str">
        <f>'1,1'!B36</f>
        <v>Sastādīja:</v>
      </c>
    </row>
    <row r="23" spans="1:7" ht="14.25" customHeight="1">
      <c r="C23" s="33" t="str">
        <f>'1,1'!C37</f>
        <v>Arnis Gailītis</v>
      </c>
    </row>
    <row r="24" spans="1:7">
      <c r="C24" s="34" t="str">
        <f>'1,1'!C38</f>
        <v>Sertifikāta Nr.20-5643</v>
      </c>
      <c r="D24" s="35"/>
    </row>
    <row r="27" spans="1:7">
      <c r="B27" s="40" t="str">
        <f>'1,1'!B41</f>
        <v>Pārbaudīja:</v>
      </c>
      <c r="C27" s="3"/>
    </row>
    <row r="28" spans="1:7">
      <c r="B28" s="2"/>
      <c r="C28" s="33" t="str">
        <f>'1,1'!C42</f>
        <v>Aivars Mauriņš</v>
      </c>
    </row>
    <row r="29" spans="1:7">
      <c r="B29" s="1"/>
      <c r="C29" s="34" t="str">
        <f>'1,1'!C43</f>
        <v>Sertifikāta Nr.20-5957</v>
      </c>
    </row>
  </sheetData>
  <mergeCells count="15">
    <mergeCell ref="A20:G20"/>
    <mergeCell ref="A19:G1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8"/>
  <sheetViews>
    <sheetView showZeros="0" view="pageBreakPreview" topLeftCell="A10" zoomScale="80" zoomScaleNormal="100" zoomScaleSheetLayoutView="80" workbookViewId="0">
      <selection activeCell="C25" sqref="C2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3.1</v>
      </c>
      <c r="E1" s="36"/>
      <c r="F1" s="36"/>
      <c r="G1" s="36"/>
    </row>
    <row r="2" spans="1:7" s="9" customFormat="1" ht="15">
      <c r="A2" s="549" t="str">
        <f>C13</f>
        <v>Ārējie ūdensvadi Ū1;Ū2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118"/>
      <c r="B13" s="119"/>
      <c r="C13" s="93" t="str">
        <f>[2]kops3!C21</f>
        <v>Ārējie ūdensvadi Ū1;Ū2</v>
      </c>
      <c r="D13" s="143"/>
      <c r="E13" s="144"/>
      <c r="F13" s="23"/>
      <c r="G13" s="24"/>
    </row>
    <row r="14" spans="1:7">
      <c r="A14" s="134"/>
      <c r="B14" s="135"/>
      <c r="C14" s="207" t="s">
        <v>30</v>
      </c>
      <c r="D14" s="207"/>
      <c r="E14" s="207"/>
      <c r="F14" s="21"/>
      <c r="G14" s="22"/>
    </row>
    <row r="15" spans="1:7" ht="24">
      <c r="A15" s="147">
        <v>1</v>
      </c>
      <c r="B15" s="135" t="s">
        <v>31</v>
      </c>
      <c r="C15" s="208" t="s">
        <v>32</v>
      </c>
      <c r="D15" s="92" t="s">
        <v>33</v>
      </c>
      <c r="E15" s="209">
        <v>69.3</v>
      </c>
      <c r="F15" s="21"/>
      <c r="G15" s="22"/>
    </row>
    <row r="16" spans="1:7" ht="24">
      <c r="A16" s="147">
        <v>2</v>
      </c>
      <c r="B16" s="135" t="s">
        <v>31</v>
      </c>
      <c r="C16" s="208" t="s">
        <v>34</v>
      </c>
      <c r="D16" s="92" t="s">
        <v>33</v>
      </c>
      <c r="E16" s="209">
        <v>8.8000000000000007</v>
      </c>
      <c r="F16" s="21"/>
      <c r="G16" s="22"/>
    </row>
    <row r="17" spans="1:7">
      <c r="A17" s="147">
        <v>3</v>
      </c>
      <c r="B17" s="135" t="s">
        <v>31</v>
      </c>
      <c r="C17" s="208" t="s">
        <v>35</v>
      </c>
      <c r="D17" s="92" t="s">
        <v>36</v>
      </c>
      <c r="E17" s="210">
        <v>1</v>
      </c>
      <c r="F17" s="21"/>
      <c r="G17" s="22"/>
    </row>
    <row r="18" spans="1:7" ht="48">
      <c r="A18" s="147">
        <v>4</v>
      </c>
      <c r="B18" s="135" t="s">
        <v>31</v>
      </c>
      <c r="C18" s="211" t="s">
        <v>37</v>
      </c>
      <c r="D18" s="92" t="s">
        <v>38</v>
      </c>
      <c r="E18" s="209">
        <v>1</v>
      </c>
      <c r="F18" s="21"/>
      <c r="G18" s="22"/>
    </row>
    <row r="19" spans="1:7" ht="24">
      <c r="A19" s="147">
        <v>5</v>
      </c>
      <c r="B19" s="135" t="s">
        <v>31</v>
      </c>
      <c r="C19" s="208" t="s">
        <v>39</v>
      </c>
      <c r="D19" s="92" t="s">
        <v>40</v>
      </c>
      <c r="E19" s="210">
        <v>4</v>
      </c>
      <c r="F19" s="21"/>
      <c r="G19" s="22"/>
    </row>
    <row r="20" spans="1:7" ht="24">
      <c r="A20" s="147">
        <v>6</v>
      </c>
      <c r="B20" s="135" t="s">
        <v>31</v>
      </c>
      <c r="C20" s="208" t="s">
        <v>41</v>
      </c>
      <c r="D20" s="92" t="s">
        <v>40</v>
      </c>
      <c r="E20" s="210">
        <v>1</v>
      </c>
      <c r="F20" s="21"/>
      <c r="G20" s="22"/>
    </row>
    <row r="21" spans="1:7" ht="24">
      <c r="A21" s="147">
        <v>7</v>
      </c>
      <c r="B21" s="135" t="s">
        <v>31</v>
      </c>
      <c r="C21" s="208" t="s">
        <v>42</v>
      </c>
      <c r="D21" s="92" t="s">
        <v>40</v>
      </c>
      <c r="E21" s="210">
        <v>1</v>
      </c>
      <c r="F21" s="21"/>
      <c r="G21" s="22"/>
    </row>
    <row r="22" spans="1:7">
      <c r="A22" s="147">
        <v>8</v>
      </c>
      <c r="B22" s="135" t="s">
        <v>31</v>
      </c>
      <c r="C22" s="208" t="s">
        <v>43</v>
      </c>
      <c r="D22" s="92" t="s">
        <v>44</v>
      </c>
      <c r="E22" s="210">
        <v>1</v>
      </c>
      <c r="F22" s="21"/>
      <c r="G22" s="22"/>
    </row>
    <row r="23" spans="1:7" ht="36">
      <c r="A23" s="147">
        <v>9</v>
      </c>
      <c r="B23" s="135" t="s">
        <v>31</v>
      </c>
      <c r="C23" s="211" t="s">
        <v>45</v>
      </c>
      <c r="D23" s="212" t="s">
        <v>36</v>
      </c>
      <c r="E23" s="210">
        <v>1</v>
      </c>
      <c r="F23" s="21"/>
      <c r="G23" s="22"/>
    </row>
    <row r="24" spans="1:7" ht="24">
      <c r="A24" s="147">
        <v>10</v>
      </c>
      <c r="B24" s="135" t="s">
        <v>31</v>
      </c>
      <c r="C24" s="211" t="s">
        <v>46</v>
      </c>
      <c r="D24" s="212" t="s">
        <v>36</v>
      </c>
      <c r="E24" s="210">
        <v>1</v>
      </c>
      <c r="F24" s="21"/>
      <c r="G24" s="22"/>
    </row>
    <row r="25" spans="1:7" ht="25.5">
      <c r="A25" s="147"/>
      <c r="B25" s="135" t="s">
        <v>31</v>
      </c>
      <c r="C25" s="127" t="s">
        <v>743</v>
      </c>
      <c r="D25" s="213" t="s">
        <v>36</v>
      </c>
      <c r="E25" s="214">
        <v>1</v>
      </c>
      <c r="F25" s="21"/>
      <c r="G25" s="22"/>
    </row>
    <row r="26" spans="1:7">
      <c r="A26" s="147">
        <v>11</v>
      </c>
      <c r="B26" s="135" t="s">
        <v>31</v>
      </c>
      <c r="C26" s="208" t="s">
        <v>47</v>
      </c>
      <c r="D26" s="92" t="s">
        <v>40</v>
      </c>
      <c r="E26" s="210">
        <v>1</v>
      </c>
      <c r="F26" s="21"/>
      <c r="G26" s="22"/>
    </row>
    <row r="27" spans="1:7">
      <c r="A27" s="147">
        <v>12</v>
      </c>
      <c r="B27" s="135" t="s">
        <v>31</v>
      </c>
      <c r="C27" s="208" t="s">
        <v>48</v>
      </c>
      <c r="D27" s="92" t="s">
        <v>40</v>
      </c>
      <c r="E27" s="210">
        <v>1</v>
      </c>
      <c r="F27" s="21"/>
      <c r="G27" s="22"/>
    </row>
    <row r="28" spans="1:7" ht="24">
      <c r="A28" s="147">
        <v>13</v>
      </c>
      <c r="B28" s="135" t="s">
        <v>31</v>
      </c>
      <c r="C28" s="208" t="s">
        <v>49</v>
      </c>
      <c r="D28" s="92" t="s">
        <v>40</v>
      </c>
      <c r="E28" s="210">
        <v>1</v>
      </c>
      <c r="F28" s="21"/>
      <c r="G28" s="22"/>
    </row>
    <row r="29" spans="1:7">
      <c r="A29" s="147">
        <v>14</v>
      </c>
      <c r="B29" s="135" t="s">
        <v>31</v>
      </c>
      <c r="C29" s="215" t="s">
        <v>50</v>
      </c>
      <c r="D29" s="135" t="s">
        <v>33</v>
      </c>
      <c r="E29" s="135">
        <v>78</v>
      </c>
      <c r="F29" s="21"/>
      <c r="G29" s="22"/>
    </row>
    <row r="30" spans="1:7">
      <c r="A30" s="147">
        <v>15</v>
      </c>
      <c r="B30" s="135" t="s">
        <v>31</v>
      </c>
      <c r="C30" s="215" t="s">
        <v>51</v>
      </c>
      <c r="D30" s="135" t="s">
        <v>44</v>
      </c>
      <c r="E30" s="135">
        <v>1</v>
      </c>
      <c r="F30" s="21"/>
      <c r="G30" s="22"/>
    </row>
    <row r="31" spans="1:7">
      <c r="A31" s="134"/>
      <c r="B31" s="135"/>
      <c r="C31" s="216" t="s">
        <v>52</v>
      </c>
      <c r="D31" s="216"/>
      <c r="E31" s="216"/>
      <c r="F31" s="21"/>
      <c r="G31" s="22"/>
    </row>
    <row r="32" spans="1:7" ht="24">
      <c r="A32" s="147">
        <v>1</v>
      </c>
      <c r="B32" s="135" t="s">
        <v>19</v>
      </c>
      <c r="C32" s="208" t="s">
        <v>53</v>
      </c>
      <c r="D32" s="217" t="s">
        <v>54</v>
      </c>
      <c r="E32" s="210">
        <v>312</v>
      </c>
      <c r="F32" s="21"/>
      <c r="G32" s="22"/>
    </row>
    <row r="33" spans="1:7">
      <c r="A33" s="147">
        <v>2</v>
      </c>
      <c r="B33" s="135" t="s">
        <v>19</v>
      </c>
      <c r="C33" s="208" t="s">
        <v>55</v>
      </c>
      <c r="D33" s="217" t="s">
        <v>54</v>
      </c>
      <c r="E33" s="210">
        <v>31</v>
      </c>
      <c r="F33" s="21"/>
      <c r="G33" s="22"/>
    </row>
    <row r="34" spans="1:7" ht="24">
      <c r="A34" s="147">
        <v>3</v>
      </c>
      <c r="B34" s="135" t="s">
        <v>19</v>
      </c>
      <c r="C34" s="208" t="s">
        <v>56</v>
      </c>
      <c r="D34" s="217" t="s">
        <v>54</v>
      </c>
      <c r="E34" s="210">
        <v>23</v>
      </c>
      <c r="F34" s="21"/>
      <c r="G34" s="22"/>
    </row>
    <row r="35" spans="1:7" ht="24">
      <c r="A35" s="147">
        <v>4</v>
      </c>
      <c r="B35" s="135" t="s">
        <v>19</v>
      </c>
      <c r="C35" s="208" t="s">
        <v>57</v>
      </c>
      <c r="D35" s="217" t="s">
        <v>54</v>
      </c>
      <c r="E35" s="210">
        <v>47</v>
      </c>
      <c r="F35" s="21"/>
      <c r="G35" s="22"/>
    </row>
    <row r="36" spans="1:7">
      <c r="A36" s="147">
        <v>5</v>
      </c>
      <c r="B36" s="135" t="s">
        <v>19</v>
      </c>
      <c r="C36" s="208" t="s">
        <v>58</v>
      </c>
      <c r="D36" s="217" t="s">
        <v>54</v>
      </c>
      <c r="E36" s="210">
        <v>273</v>
      </c>
      <c r="F36" s="21"/>
      <c r="G36" s="22"/>
    </row>
    <row r="37" spans="1:7">
      <c r="A37" s="147">
        <v>6</v>
      </c>
      <c r="B37" s="135" t="s">
        <v>19</v>
      </c>
      <c r="C37" s="208" t="s">
        <v>1170</v>
      </c>
      <c r="D37" s="217" t="s">
        <v>54</v>
      </c>
      <c r="E37" s="210">
        <v>70</v>
      </c>
      <c r="F37" s="21"/>
      <c r="G37" s="22"/>
    </row>
    <row r="38" spans="1:7">
      <c r="A38" s="134"/>
      <c r="B38" s="135"/>
      <c r="C38" s="194"/>
      <c r="D38" s="162"/>
      <c r="E38" s="162"/>
      <c r="F38" s="21"/>
      <c r="G38" s="22"/>
    </row>
    <row r="39" spans="1:7">
      <c r="A39" s="134"/>
      <c r="B39" s="135"/>
      <c r="C39" s="216" t="s">
        <v>59</v>
      </c>
      <c r="D39" s="216"/>
      <c r="E39" s="216"/>
      <c r="F39" s="21"/>
      <c r="G39" s="22"/>
    </row>
    <row r="40" spans="1:7">
      <c r="A40" s="147">
        <v>1</v>
      </c>
      <c r="B40" s="135" t="s">
        <v>60</v>
      </c>
      <c r="C40" s="218" t="s">
        <v>61</v>
      </c>
      <c r="D40" s="219" t="s">
        <v>33</v>
      </c>
      <c r="E40" s="114">
        <v>32</v>
      </c>
      <c r="F40" s="21"/>
      <c r="G40" s="22"/>
    </row>
    <row r="41" spans="1:7">
      <c r="A41" s="147">
        <v>2</v>
      </c>
      <c r="B41" s="135" t="s">
        <v>60</v>
      </c>
      <c r="C41" s="218" t="s">
        <v>62</v>
      </c>
      <c r="D41" s="114" t="s">
        <v>33</v>
      </c>
      <c r="E41" s="220">
        <v>39</v>
      </c>
      <c r="F41" s="21"/>
      <c r="G41" s="22"/>
    </row>
    <row r="42" spans="1:7">
      <c r="A42" s="147">
        <v>3</v>
      </c>
      <c r="B42" s="135" t="s">
        <v>60</v>
      </c>
      <c r="C42" s="218" t="s">
        <v>63</v>
      </c>
      <c r="D42" s="114" t="s">
        <v>38</v>
      </c>
      <c r="E42" s="217">
        <v>1</v>
      </c>
      <c r="F42" s="21"/>
      <c r="G42" s="22"/>
    </row>
    <row r="43" spans="1:7">
      <c r="A43" s="147">
        <v>4</v>
      </c>
      <c r="B43" s="135" t="s">
        <v>60</v>
      </c>
      <c r="C43" s="221" t="s">
        <v>64</v>
      </c>
      <c r="D43" s="217" t="s">
        <v>65</v>
      </c>
      <c r="E43" s="217">
        <v>138</v>
      </c>
      <c r="F43" s="21"/>
      <c r="G43" s="22"/>
    </row>
    <row r="44" spans="1:7" s="17" customFormat="1">
      <c r="A44" s="28"/>
      <c r="B44" s="29"/>
      <c r="C44" s="30"/>
      <c r="D44" s="31"/>
      <c r="E44" s="12"/>
      <c r="F44" s="12"/>
      <c r="G44" s="32"/>
    </row>
    <row r="45" spans="1:7" ht="15">
      <c r="A45" s="13"/>
      <c r="B45" s="13"/>
      <c r="C45" s="18"/>
      <c r="D45" s="19"/>
      <c r="E45" s="18"/>
      <c r="F45" s="18" t="s">
        <v>6</v>
      </c>
      <c r="G45" s="20"/>
    </row>
    <row r="47" spans="1:7" s="25" customFormat="1" ht="12.75" customHeight="1">
      <c r="B47" s="26" t="str">
        <f>'1,1'!B32</f>
        <v>Piezīmes:</v>
      </c>
    </row>
    <row r="48" spans="1:7" s="25" customFormat="1" ht="45" customHeight="1">
      <c r="A48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8" s="546"/>
      <c r="C48" s="546"/>
      <c r="D48" s="546"/>
      <c r="E48" s="546"/>
      <c r="F48" s="546"/>
      <c r="G48" s="546"/>
    </row>
    <row r="49" spans="1:7" s="25" customFormat="1" ht="12.75" customHeight="1">
      <c r="A49" s="546">
        <f>'1,1'!$A$34</f>
        <v>0</v>
      </c>
      <c r="B49" s="546"/>
      <c r="C49" s="546"/>
      <c r="D49" s="546"/>
      <c r="E49" s="546"/>
      <c r="F49" s="546"/>
      <c r="G49" s="546"/>
    </row>
    <row r="50" spans="1:7" s="25" customFormat="1" ht="12.75" customHeight="1">
      <c r="B50" s="27"/>
    </row>
    <row r="51" spans="1:7">
      <c r="B51" s="5" t="str">
        <f>'1,1'!B36</f>
        <v>Sastādīja:</v>
      </c>
    </row>
    <row r="52" spans="1:7" ht="14.25" customHeight="1">
      <c r="C52" s="33" t="str">
        <f>'1,1'!C37</f>
        <v>Arnis Gailītis</v>
      </c>
    </row>
    <row r="53" spans="1:7">
      <c r="C53" s="34" t="str">
        <f>'1,1'!C38</f>
        <v>Sertifikāta Nr.20-5643</v>
      </c>
      <c r="D53" s="35"/>
    </row>
    <row r="56" spans="1:7">
      <c r="B56" s="40" t="str">
        <f>'1,1'!B41</f>
        <v>Pārbaudīja:</v>
      </c>
      <c r="C56" s="3"/>
    </row>
    <row r="57" spans="1:7">
      <c r="B57" s="2"/>
      <c r="C57" s="33" t="str">
        <f>'1,1'!C42</f>
        <v>Aivars Mauriņš</v>
      </c>
    </row>
    <row r="58" spans="1:7">
      <c r="B58" s="1"/>
      <c r="C58" s="34" t="str">
        <f>'1,1'!C43</f>
        <v>Sertifikāta Nr.20-5957</v>
      </c>
    </row>
  </sheetData>
  <mergeCells count="15">
    <mergeCell ref="A49:G49"/>
    <mergeCell ref="A48:G48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conditionalFormatting sqref="D33:D34 D43">
    <cfRule type="cellIs" dxfId="3" priority="1" stopIfTrue="1" operator="equal">
      <formula>0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5"/>
  <sheetViews>
    <sheetView showZeros="0" view="pageBreakPreview" topLeftCell="A37" zoomScale="80" zoomScaleNormal="100" zoomScaleSheetLayoutView="80" workbookViewId="0">
      <selection activeCell="K71" sqref="K71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3.2</v>
      </c>
      <c r="E1" s="36"/>
      <c r="F1" s="36"/>
      <c r="G1" s="36"/>
    </row>
    <row r="2" spans="1:7" s="9" customFormat="1" ht="15">
      <c r="A2" s="549" t="str">
        <f>C13</f>
        <v>Ārējā kanalizācija K1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118"/>
      <c r="B13" s="131">
        <v>0</v>
      </c>
      <c r="C13" s="93" t="str">
        <f>[2]kops3!C22</f>
        <v>Ārējā kanalizācija K1</v>
      </c>
      <c r="D13" s="143"/>
      <c r="E13" s="144"/>
      <c r="F13" s="23"/>
      <c r="G13" s="24"/>
    </row>
    <row r="14" spans="1:7" ht="25.5">
      <c r="A14" s="134"/>
      <c r="B14" s="135"/>
      <c r="C14" s="194" t="s">
        <v>66</v>
      </c>
      <c r="D14" s="162"/>
      <c r="E14" s="162"/>
      <c r="F14" s="21"/>
      <c r="G14" s="22"/>
    </row>
    <row r="15" spans="1:7">
      <c r="A15" s="134"/>
      <c r="B15" s="135"/>
      <c r="C15" s="207" t="s">
        <v>67</v>
      </c>
      <c r="D15" s="207"/>
      <c r="E15" s="207"/>
      <c r="F15" s="21"/>
      <c r="G15" s="22"/>
    </row>
    <row r="16" spans="1:7" ht="36">
      <c r="A16" s="147">
        <v>1</v>
      </c>
      <c r="B16" s="135" t="s">
        <v>31</v>
      </c>
      <c r="C16" s="208" t="s">
        <v>68</v>
      </c>
      <c r="D16" s="212" t="s">
        <v>33</v>
      </c>
      <c r="E16" s="209">
        <v>4.8949999999999996</v>
      </c>
      <c r="F16" s="21"/>
      <c r="G16" s="22"/>
    </row>
    <row r="17" spans="1:7" ht="36">
      <c r="A17" s="147">
        <v>2</v>
      </c>
      <c r="B17" s="135" t="s">
        <v>31</v>
      </c>
      <c r="C17" s="208" t="s">
        <v>69</v>
      </c>
      <c r="D17" s="212" t="s">
        <v>33</v>
      </c>
      <c r="E17" s="209">
        <v>101.2</v>
      </c>
      <c r="F17" s="21"/>
      <c r="G17" s="22"/>
    </row>
    <row r="18" spans="1:7" ht="36">
      <c r="A18" s="147">
        <v>3</v>
      </c>
      <c r="B18" s="135" t="s">
        <v>31</v>
      </c>
      <c r="C18" s="208" t="s">
        <v>70</v>
      </c>
      <c r="D18" s="212" t="s">
        <v>33</v>
      </c>
      <c r="E18" s="209">
        <v>204.98500000000001</v>
      </c>
      <c r="F18" s="21"/>
      <c r="G18" s="22"/>
    </row>
    <row r="19" spans="1:7" ht="24">
      <c r="A19" s="147">
        <v>4</v>
      </c>
      <c r="B19" s="135" t="s">
        <v>31</v>
      </c>
      <c r="C19" s="208" t="s">
        <v>71</v>
      </c>
      <c r="D19" s="212" t="s">
        <v>33</v>
      </c>
      <c r="E19" s="212">
        <v>18</v>
      </c>
      <c r="F19" s="21"/>
      <c r="G19" s="22"/>
    </row>
    <row r="20" spans="1:7" ht="60">
      <c r="A20" s="147">
        <v>5</v>
      </c>
      <c r="B20" s="135" t="s">
        <v>31</v>
      </c>
      <c r="C20" s="123" t="s">
        <v>72</v>
      </c>
      <c r="D20" s="213" t="s">
        <v>44</v>
      </c>
      <c r="E20" s="213">
        <v>9</v>
      </c>
      <c r="F20" s="21"/>
      <c r="G20" s="22"/>
    </row>
    <row r="21" spans="1:7" ht="60">
      <c r="A21" s="147">
        <v>6</v>
      </c>
      <c r="B21" s="135" t="s">
        <v>31</v>
      </c>
      <c r="C21" s="123" t="s">
        <v>73</v>
      </c>
      <c r="D21" s="213" t="s">
        <v>44</v>
      </c>
      <c r="E21" s="213">
        <f>1+1+1+1+1+1</f>
        <v>6</v>
      </c>
      <c r="F21" s="21"/>
      <c r="G21" s="22"/>
    </row>
    <row r="22" spans="1:7" ht="60">
      <c r="A22" s="147"/>
      <c r="B22" s="135" t="s">
        <v>31</v>
      </c>
      <c r="C22" s="123" t="s">
        <v>1171</v>
      </c>
      <c r="D22" s="213" t="s">
        <v>44</v>
      </c>
      <c r="E22" s="213">
        <v>1</v>
      </c>
      <c r="F22" s="21"/>
      <c r="G22" s="22"/>
    </row>
    <row r="23" spans="1:7">
      <c r="A23" s="147">
        <v>7</v>
      </c>
      <c r="B23" s="135" t="s">
        <v>31</v>
      </c>
      <c r="C23" s="222" t="s">
        <v>74</v>
      </c>
      <c r="D23" s="212" t="s">
        <v>38</v>
      </c>
      <c r="E23" s="212">
        <f>1+1+1+1+1</f>
        <v>5</v>
      </c>
      <c r="F23" s="21"/>
      <c r="G23" s="22"/>
    </row>
    <row r="24" spans="1:7">
      <c r="A24" s="147">
        <v>8</v>
      </c>
      <c r="B24" s="135" t="s">
        <v>31</v>
      </c>
      <c r="C24" s="222" t="s">
        <v>75</v>
      </c>
      <c r="D24" s="212" t="s">
        <v>38</v>
      </c>
      <c r="E24" s="212">
        <v>9</v>
      </c>
      <c r="F24" s="21"/>
      <c r="G24" s="22"/>
    </row>
    <row r="25" spans="1:7">
      <c r="A25" s="147">
        <v>9</v>
      </c>
      <c r="B25" s="135" t="s">
        <v>31</v>
      </c>
      <c r="C25" s="222" t="s">
        <v>76</v>
      </c>
      <c r="D25" s="212" t="s">
        <v>38</v>
      </c>
      <c r="E25" s="212">
        <v>24</v>
      </c>
      <c r="F25" s="21"/>
      <c r="G25" s="22"/>
    </row>
    <row r="26" spans="1:7">
      <c r="A26" s="147">
        <v>10</v>
      </c>
      <c r="B26" s="135" t="s">
        <v>31</v>
      </c>
      <c r="C26" s="223" t="s">
        <v>77</v>
      </c>
      <c r="D26" s="212" t="s">
        <v>38</v>
      </c>
      <c r="E26" s="212">
        <v>2</v>
      </c>
      <c r="F26" s="21"/>
      <c r="G26" s="22"/>
    </row>
    <row r="27" spans="1:7">
      <c r="A27" s="147">
        <v>11</v>
      </c>
      <c r="B27" s="135" t="s">
        <v>31</v>
      </c>
      <c r="C27" s="223" t="s">
        <v>78</v>
      </c>
      <c r="D27" s="212" t="s">
        <v>38</v>
      </c>
      <c r="E27" s="212">
        <v>2</v>
      </c>
      <c r="F27" s="21"/>
      <c r="G27" s="22"/>
    </row>
    <row r="28" spans="1:7" ht="24">
      <c r="A28" s="147">
        <v>12</v>
      </c>
      <c r="B28" s="135" t="s">
        <v>31</v>
      </c>
      <c r="C28" s="208" t="s">
        <v>79</v>
      </c>
      <c r="D28" s="212" t="s">
        <v>40</v>
      </c>
      <c r="E28" s="212">
        <v>5</v>
      </c>
      <c r="F28" s="21"/>
      <c r="G28" s="22"/>
    </row>
    <row r="29" spans="1:7" ht="24">
      <c r="A29" s="147">
        <v>13</v>
      </c>
      <c r="B29" s="135" t="s">
        <v>31</v>
      </c>
      <c r="C29" s="208" t="s">
        <v>80</v>
      </c>
      <c r="D29" s="212" t="s">
        <v>40</v>
      </c>
      <c r="E29" s="212">
        <v>1</v>
      </c>
      <c r="F29" s="21"/>
      <c r="G29" s="22"/>
    </row>
    <row r="30" spans="1:7" ht="24">
      <c r="A30" s="147">
        <v>14</v>
      </c>
      <c r="B30" s="135" t="s">
        <v>31</v>
      </c>
      <c r="C30" s="208" t="s">
        <v>81</v>
      </c>
      <c r="D30" s="212" t="s">
        <v>40</v>
      </c>
      <c r="E30" s="212">
        <v>2</v>
      </c>
      <c r="F30" s="21"/>
      <c r="G30" s="22"/>
    </row>
    <row r="31" spans="1:7" ht="24">
      <c r="A31" s="147">
        <v>15</v>
      </c>
      <c r="B31" s="135" t="s">
        <v>31</v>
      </c>
      <c r="C31" s="208" t="s">
        <v>82</v>
      </c>
      <c r="D31" s="212" t="s">
        <v>40</v>
      </c>
      <c r="E31" s="212">
        <v>1</v>
      </c>
      <c r="F31" s="21"/>
      <c r="G31" s="22"/>
    </row>
    <row r="32" spans="1:7" ht="24">
      <c r="A32" s="147">
        <v>16</v>
      </c>
      <c r="B32" s="135" t="s">
        <v>31</v>
      </c>
      <c r="C32" s="208" t="s">
        <v>83</v>
      </c>
      <c r="D32" s="212" t="s">
        <v>40</v>
      </c>
      <c r="E32" s="212">
        <v>1</v>
      </c>
      <c r="F32" s="21"/>
      <c r="G32" s="22"/>
    </row>
    <row r="33" spans="1:7" ht="24">
      <c r="A33" s="147">
        <v>17</v>
      </c>
      <c r="B33" s="135" t="s">
        <v>31</v>
      </c>
      <c r="C33" s="208" t="s">
        <v>84</v>
      </c>
      <c r="D33" s="212" t="s">
        <v>40</v>
      </c>
      <c r="E33" s="212">
        <v>2</v>
      </c>
      <c r="F33" s="21"/>
      <c r="G33" s="22"/>
    </row>
    <row r="34" spans="1:7" ht="24">
      <c r="A34" s="147">
        <v>18</v>
      </c>
      <c r="B34" s="135" t="s">
        <v>31</v>
      </c>
      <c r="C34" s="208" t="s">
        <v>85</v>
      </c>
      <c r="D34" s="212" t="s">
        <v>40</v>
      </c>
      <c r="E34" s="212">
        <v>1</v>
      </c>
      <c r="F34" s="21"/>
      <c r="G34" s="22"/>
    </row>
    <row r="35" spans="1:7" ht="24">
      <c r="A35" s="147">
        <v>19</v>
      </c>
      <c r="B35" s="135" t="s">
        <v>31</v>
      </c>
      <c r="C35" s="208" t="s">
        <v>86</v>
      </c>
      <c r="D35" s="212" t="s">
        <v>40</v>
      </c>
      <c r="E35" s="212">
        <v>2</v>
      </c>
      <c r="F35" s="21"/>
      <c r="G35" s="22"/>
    </row>
    <row r="36" spans="1:7" ht="36">
      <c r="A36" s="147">
        <v>20</v>
      </c>
      <c r="B36" s="135" t="s">
        <v>31</v>
      </c>
      <c r="C36" s="211" t="s">
        <v>45</v>
      </c>
      <c r="D36" s="212" t="s">
        <v>36</v>
      </c>
      <c r="E36" s="212">
        <v>1</v>
      </c>
      <c r="F36" s="21"/>
      <c r="G36" s="22"/>
    </row>
    <row r="37" spans="1:7" ht="24">
      <c r="A37" s="147">
        <v>21</v>
      </c>
      <c r="B37" s="135" t="s">
        <v>31</v>
      </c>
      <c r="C37" s="211" t="s">
        <v>46</v>
      </c>
      <c r="D37" s="212" t="s">
        <v>36</v>
      </c>
      <c r="E37" s="212">
        <v>1</v>
      </c>
      <c r="F37" s="21"/>
      <c r="G37" s="22"/>
    </row>
    <row r="38" spans="1:7" ht="24">
      <c r="A38" s="147">
        <v>22</v>
      </c>
      <c r="B38" s="135" t="s">
        <v>31</v>
      </c>
      <c r="C38" s="211" t="s">
        <v>87</v>
      </c>
      <c r="D38" s="212" t="s">
        <v>36</v>
      </c>
      <c r="E38" s="212">
        <v>1</v>
      </c>
      <c r="F38" s="21"/>
      <c r="G38" s="22"/>
    </row>
    <row r="39" spans="1:7" ht="24">
      <c r="A39" s="147">
        <v>23</v>
      </c>
      <c r="B39" s="135" t="s">
        <v>31</v>
      </c>
      <c r="C39" s="211" t="s">
        <v>88</v>
      </c>
      <c r="D39" s="212" t="s">
        <v>36</v>
      </c>
      <c r="E39" s="212">
        <v>1</v>
      </c>
      <c r="F39" s="21"/>
      <c r="G39" s="22"/>
    </row>
    <row r="40" spans="1:7">
      <c r="A40" s="147">
        <v>24</v>
      </c>
      <c r="B40" s="135" t="s">
        <v>31</v>
      </c>
      <c r="C40" s="127" t="s">
        <v>744</v>
      </c>
      <c r="D40" s="213" t="s">
        <v>40</v>
      </c>
      <c r="E40" s="213">
        <v>1</v>
      </c>
      <c r="F40" s="21"/>
      <c r="G40" s="22"/>
    </row>
    <row r="41" spans="1:7" ht="24">
      <c r="A41" s="147">
        <v>25</v>
      </c>
      <c r="B41" s="135" t="s">
        <v>31</v>
      </c>
      <c r="C41" s="208" t="s">
        <v>89</v>
      </c>
      <c r="D41" s="212" t="s">
        <v>40</v>
      </c>
      <c r="E41" s="212">
        <v>1</v>
      </c>
      <c r="F41" s="21"/>
      <c r="G41" s="22"/>
    </row>
    <row r="42" spans="1:7" ht="24">
      <c r="A42" s="147">
        <v>26</v>
      </c>
      <c r="B42" s="135" t="s">
        <v>31</v>
      </c>
      <c r="C42" s="208" t="s">
        <v>49</v>
      </c>
      <c r="D42" s="212" t="s">
        <v>40</v>
      </c>
      <c r="E42" s="212">
        <v>1</v>
      </c>
      <c r="F42" s="21"/>
      <c r="G42" s="22"/>
    </row>
    <row r="43" spans="1:7">
      <c r="A43" s="147">
        <v>27</v>
      </c>
      <c r="B43" s="135" t="s">
        <v>31</v>
      </c>
      <c r="C43" s="215" t="s">
        <v>50</v>
      </c>
      <c r="D43" s="135" t="s">
        <v>33</v>
      </c>
      <c r="E43" s="135">
        <v>329</v>
      </c>
      <c r="F43" s="21"/>
      <c r="G43" s="22"/>
    </row>
    <row r="44" spans="1:7">
      <c r="A44" s="147">
        <v>28</v>
      </c>
      <c r="B44" s="135" t="s">
        <v>31</v>
      </c>
      <c r="C44" s="215" t="s">
        <v>51</v>
      </c>
      <c r="D44" s="135" t="s">
        <v>44</v>
      </c>
      <c r="E44" s="135">
        <v>1</v>
      </c>
      <c r="F44" s="21"/>
      <c r="G44" s="22"/>
    </row>
    <row r="45" spans="1:7">
      <c r="A45" s="134"/>
      <c r="B45" s="135"/>
      <c r="C45" s="216" t="s">
        <v>90</v>
      </c>
      <c r="D45" s="216"/>
      <c r="E45" s="216"/>
      <c r="F45" s="21"/>
      <c r="G45" s="22"/>
    </row>
    <row r="46" spans="1:7" ht="24">
      <c r="A46" s="147">
        <v>1</v>
      </c>
      <c r="B46" s="135" t="s">
        <v>19</v>
      </c>
      <c r="C46" s="208" t="s">
        <v>91</v>
      </c>
      <c r="D46" s="217" t="s">
        <v>54</v>
      </c>
      <c r="E46" s="219">
        <v>848</v>
      </c>
      <c r="F46" s="21"/>
      <c r="G46" s="22"/>
    </row>
    <row r="47" spans="1:7">
      <c r="A47" s="147">
        <v>2</v>
      </c>
      <c r="B47" s="135" t="s">
        <v>19</v>
      </c>
      <c r="C47" s="208" t="s">
        <v>55</v>
      </c>
      <c r="D47" s="217" t="s">
        <v>54</v>
      </c>
      <c r="E47" s="219">
        <v>85</v>
      </c>
      <c r="F47" s="21"/>
      <c r="G47" s="22"/>
    </row>
    <row r="48" spans="1:7" ht="24">
      <c r="A48" s="147">
        <v>3</v>
      </c>
      <c r="B48" s="135" t="s">
        <v>19</v>
      </c>
      <c r="C48" s="208" t="s">
        <v>56</v>
      </c>
      <c r="D48" s="217" t="s">
        <v>54</v>
      </c>
      <c r="E48" s="219">
        <v>85</v>
      </c>
      <c r="F48" s="21"/>
      <c r="G48" s="22"/>
    </row>
    <row r="49" spans="1:7" ht="24">
      <c r="A49" s="147">
        <v>4</v>
      </c>
      <c r="B49" s="135" t="s">
        <v>19</v>
      </c>
      <c r="C49" s="208" t="s">
        <v>57</v>
      </c>
      <c r="D49" s="217" t="s">
        <v>54</v>
      </c>
      <c r="E49" s="219">
        <v>20</v>
      </c>
      <c r="F49" s="21"/>
      <c r="G49" s="22"/>
    </row>
    <row r="50" spans="1:7">
      <c r="A50" s="147">
        <v>5</v>
      </c>
      <c r="B50" s="135" t="s">
        <v>19</v>
      </c>
      <c r="C50" s="208" t="s">
        <v>58</v>
      </c>
      <c r="D50" s="217" t="s">
        <v>54</v>
      </c>
      <c r="E50" s="219">
        <v>828</v>
      </c>
      <c r="F50" s="21"/>
      <c r="G50" s="22"/>
    </row>
    <row r="51" spans="1:7">
      <c r="A51" s="147">
        <v>6</v>
      </c>
      <c r="B51" s="135" t="s">
        <v>19</v>
      </c>
      <c r="C51" s="208" t="s">
        <v>1170</v>
      </c>
      <c r="D51" s="217" t="s">
        <v>54</v>
      </c>
      <c r="E51" s="219">
        <v>105</v>
      </c>
      <c r="F51" s="21"/>
      <c r="G51" s="22"/>
    </row>
    <row r="52" spans="1:7">
      <c r="A52" s="134"/>
      <c r="B52" s="135"/>
      <c r="C52" s="194"/>
      <c r="D52" s="162"/>
      <c r="E52" s="162"/>
      <c r="F52" s="21"/>
      <c r="G52" s="22"/>
    </row>
    <row r="53" spans="1:7">
      <c r="A53" s="134"/>
      <c r="B53" s="135"/>
      <c r="C53" s="216" t="s">
        <v>92</v>
      </c>
      <c r="D53" s="216"/>
      <c r="E53" s="216"/>
      <c r="F53" s="21"/>
      <c r="G53" s="22"/>
    </row>
    <row r="54" spans="1:7" ht="24">
      <c r="A54" s="147">
        <v>1</v>
      </c>
      <c r="B54" s="135" t="s">
        <v>60</v>
      </c>
      <c r="C54" s="208" t="s">
        <v>93</v>
      </c>
      <c r="D54" s="224" t="s">
        <v>33</v>
      </c>
      <c r="E54" s="225">
        <v>78</v>
      </c>
      <c r="F54" s="21"/>
      <c r="G54" s="22"/>
    </row>
    <row r="55" spans="1:7" ht="24">
      <c r="A55" s="147">
        <v>2</v>
      </c>
      <c r="B55" s="135" t="s">
        <v>60</v>
      </c>
      <c r="C55" s="208" t="s">
        <v>94</v>
      </c>
      <c r="D55" s="224" t="s">
        <v>33</v>
      </c>
      <c r="E55" s="225">
        <v>167</v>
      </c>
      <c r="F55" s="21"/>
      <c r="G55" s="22"/>
    </row>
    <row r="56" spans="1:7">
      <c r="A56" s="147">
        <v>3</v>
      </c>
      <c r="B56" s="135" t="s">
        <v>60</v>
      </c>
      <c r="C56" s="208" t="s">
        <v>95</v>
      </c>
      <c r="D56" s="224" t="s">
        <v>38</v>
      </c>
      <c r="E56" s="225">
        <v>10</v>
      </c>
      <c r="F56" s="21"/>
      <c r="G56" s="22"/>
    </row>
    <row r="57" spans="1:7" ht="25.5">
      <c r="A57" s="147">
        <v>4</v>
      </c>
      <c r="B57" s="135" t="s">
        <v>60</v>
      </c>
      <c r="C57" s="142" t="s">
        <v>745</v>
      </c>
      <c r="D57" s="497" t="s">
        <v>716</v>
      </c>
      <c r="E57" s="226">
        <v>37</v>
      </c>
      <c r="F57" s="21"/>
      <c r="G57" s="22"/>
    </row>
    <row r="58" spans="1:7">
      <c r="A58" s="147">
        <v>5</v>
      </c>
      <c r="B58" s="135" t="s">
        <v>60</v>
      </c>
      <c r="C58" s="227" t="s">
        <v>96</v>
      </c>
      <c r="D58" s="217" t="s">
        <v>65</v>
      </c>
      <c r="E58" s="210">
        <v>106</v>
      </c>
      <c r="F58" s="21"/>
      <c r="G58" s="22"/>
    </row>
    <row r="59" spans="1:7">
      <c r="A59" s="147">
        <v>6</v>
      </c>
      <c r="B59" s="135" t="s">
        <v>60</v>
      </c>
      <c r="C59" s="221" t="s">
        <v>97</v>
      </c>
      <c r="D59" s="217" t="s">
        <v>65</v>
      </c>
      <c r="E59" s="219">
        <v>165</v>
      </c>
      <c r="F59" s="21"/>
      <c r="G59" s="22"/>
    </row>
    <row r="60" spans="1:7">
      <c r="A60" s="147">
        <v>7</v>
      </c>
      <c r="B60" s="135" t="s">
        <v>60</v>
      </c>
      <c r="C60" s="221" t="s">
        <v>64</v>
      </c>
      <c r="D60" s="217" t="s">
        <v>65</v>
      </c>
      <c r="E60" s="219">
        <v>467</v>
      </c>
      <c r="F60" s="21"/>
      <c r="G60" s="22"/>
    </row>
    <row r="61" spans="1:7">
      <c r="A61" s="147">
        <v>8</v>
      </c>
      <c r="B61" s="135" t="s">
        <v>746</v>
      </c>
      <c r="C61" s="124" t="s">
        <v>747</v>
      </c>
      <c r="D61" s="120" t="s">
        <v>748</v>
      </c>
      <c r="E61" s="228">
        <v>0.03</v>
      </c>
      <c r="F61" s="21"/>
      <c r="G61" s="22"/>
    </row>
    <row r="62" spans="1:7">
      <c r="A62" s="134"/>
      <c r="B62" s="135"/>
      <c r="C62" s="216" t="s">
        <v>98</v>
      </c>
      <c r="D62" s="216"/>
      <c r="E62" s="216"/>
      <c r="F62" s="21"/>
      <c r="G62" s="22"/>
    </row>
    <row r="63" spans="1:7">
      <c r="A63" s="147">
        <v>1</v>
      </c>
      <c r="B63" s="135" t="s">
        <v>99</v>
      </c>
      <c r="C63" s="211" t="s">
        <v>100</v>
      </c>
      <c r="D63" s="217" t="s">
        <v>54</v>
      </c>
      <c r="E63" s="229">
        <f>0.04*45</f>
        <v>1.8</v>
      </c>
      <c r="F63" s="21"/>
      <c r="G63" s="22"/>
    </row>
    <row r="64" spans="1:7">
      <c r="A64" s="147">
        <v>2</v>
      </c>
      <c r="B64" s="135" t="s">
        <v>99</v>
      </c>
      <c r="C64" s="211" t="s">
        <v>1172</v>
      </c>
      <c r="D64" s="217" t="s">
        <v>54</v>
      </c>
      <c r="E64" s="229">
        <f>0.06*45</f>
        <v>2.6999999999999997</v>
      </c>
      <c r="F64" s="21"/>
      <c r="G64" s="22"/>
    </row>
    <row r="65" spans="1:7">
      <c r="A65" s="147">
        <v>3</v>
      </c>
      <c r="B65" s="135" t="s">
        <v>99</v>
      </c>
      <c r="C65" s="211" t="s">
        <v>101</v>
      </c>
      <c r="D65" s="217" t="s">
        <v>54</v>
      </c>
      <c r="E65" s="229">
        <f>0.25*45</f>
        <v>11.25</v>
      </c>
      <c r="F65" s="21"/>
      <c r="G65" s="22"/>
    </row>
    <row r="66" spans="1:7">
      <c r="A66" s="147">
        <v>4</v>
      </c>
      <c r="B66" s="135" t="s">
        <v>99</v>
      </c>
      <c r="C66" s="211" t="s">
        <v>102</v>
      </c>
      <c r="D66" s="217" t="s">
        <v>54</v>
      </c>
      <c r="E66" s="229">
        <f>0.3*45</f>
        <v>13.5</v>
      </c>
      <c r="F66" s="21"/>
      <c r="G66" s="22"/>
    </row>
    <row r="67" spans="1:7">
      <c r="A67" s="147">
        <v>5</v>
      </c>
      <c r="B67" s="135" t="s">
        <v>99</v>
      </c>
      <c r="C67" s="230" t="s">
        <v>103</v>
      </c>
      <c r="D67" s="217" t="s">
        <v>65</v>
      </c>
      <c r="E67" s="229">
        <v>47</v>
      </c>
      <c r="F67" s="21"/>
      <c r="G67" s="22"/>
    </row>
    <row r="68" spans="1:7">
      <c r="A68" s="147">
        <v>6</v>
      </c>
      <c r="B68" s="135" t="s">
        <v>99</v>
      </c>
      <c r="C68" s="211" t="s">
        <v>104</v>
      </c>
      <c r="D68" s="217" t="s">
        <v>65</v>
      </c>
      <c r="E68" s="229">
        <v>349</v>
      </c>
      <c r="F68" s="21"/>
      <c r="G68" s="22"/>
    </row>
    <row r="69" spans="1:7">
      <c r="A69" s="147">
        <v>7</v>
      </c>
      <c r="B69" s="135" t="s">
        <v>99</v>
      </c>
      <c r="C69" s="231" t="s">
        <v>105</v>
      </c>
      <c r="D69" s="217" t="s">
        <v>54</v>
      </c>
      <c r="E69" s="229">
        <f>E68*0.15</f>
        <v>52.35</v>
      </c>
      <c r="F69" s="52"/>
      <c r="G69" s="53"/>
    </row>
    <row r="70" spans="1:7">
      <c r="A70" s="147">
        <v>8</v>
      </c>
      <c r="B70" s="135" t="s">
        <v>99</v>
      </c>
      <c r="C70" s="232" t="s">
        <v>106</v>
      </c>
      <c r="D70" s="217" t="s">
        <v>107</v>
      </c>
      <c r="E70" s="229">
        <f>(E68*4)/100</f>
        <v>13.96</v>
      </c>
      <c r="F70" s="52"/>
      <c r="G70" s="53"/>
    </row>
    <row r="71" spans="1:7" s="17" customFormat="1">
      <c r="A71" s="28"/>
      <c r="B71" s="29"/>
      <c r="C71" s="30"/>
      <c r="D71" s="31"/>
      <c r="E71" s="12"/>
      <c r="F71" s="12"/>
      <c r="G71" s="32"/>
    </row>
    <row r="72" spans="1:7" ht="15">
      <c r="A72" s="13"/>
      <c r="B72" s="13"/>
      <c r="C72" s="18"/>
      <c r="D72" s="19"/>
      <c r="E72" s="18"/>
      <c r="F72" s="18" t="s">
        <v>6</v>
      </c>
      <c r="G72" s="20"/>
    </row>
    <row r="74" spans="1:7" s="25" customFormat="1" ht="12.75" customHeight="1">
      <c r="B74" s="26" t="str">
        <f>'1,1'!B32</f>
        <v>Piezīmes:</v>
      </c>
    </row>
    <row r="75" spans="1:7" s="25" customFormat="1" ht="45" customHeight="1">
      <c r="A75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5" s="546"/>
      <c r="C75" s="546"/>
      <c r="D75" s="546"/>
      <c r="E75" s="546"/>
      <c r="F75" s="546"/>
      <c r="G75" s="546"/>
    </row>
    <row r="76" spans="1:7" s="25" customFormat="1" ht="12.75" customHeight="1">
      <c r="A76" s="546">
        <f>'1,1'!$A$34</f>
        <v>0</v>
      </c>
      <c r="B76" s="546"/>
      <c r="C76" s="546"/>
      <c r="D76" s="546"/>
      <c r="E76" s="546"/>
      <c r="F76" s="546"/>
      <c r="G76" s="546"/>
    </row>
    <row r="77" spans="1:7" s="25" customFormat="1" ht="12.75" customHeight="1">
      <c r="B77" s="27"/>
    </row>
    <row r="78" spans="1:7">
      <c r="B78" s="5" t="str">
        <f>'1,1'!B36</f>
        <v>Sastādīja:</v>
      </c>
    </row>
    <row r="79" spans="1:7" ht="14.25" customHeight="1">
      <c r="C79" s="33" t="str">
        <f>'1,1'!C37</f>
        <v>Arnis Gailītis</v>
      </c>
    </row>
    <row r="80" spans="1:7">
      <c r="C80" s="34" t="str">
        <f>'1,1'!C38</f>
        <v>Sertifikāta Nr.20-5643</v>
      </c>
      <c r="D80" s="35"/>
    </row>
    <row r="83" spans="2:3">
      <c r="B83" s="40" t="str">
        <f>'1,1'!B41</f>
        <v>Pārbaudīja:</v>
      </c>
      <c r="C83" s="3"/>
    </row>
    <row r="84" spans="2:3">
      <c r="B84" s="2"/>
      <c r="C84" s="33" t="str">
        <f>'1,1'!C42</f>
        <v>Aivars Mauriņš</v>
      </c>
    </row>
    <row r="85" spans="2:3">
      <c r="B85" s="1"/>
      <c r="C85" s="34" t="str">
        <f>'1,1'!C43</f>
        <v>Sertifikāta Nr.20-5957</v>
      </c>
    </row>
  </sheetData>
  <mergeCells count="15">
    <mergeCell ref="A76:G76"/>
    <mergeCell ref="A75:G75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conditionalFormatting sqref="D47:D48 D63:D70 D57:D61">
    <cfRule type="cellIs" dxfId="2" priority="1" stopIfTrue="1" operator="equal">
      <formula>0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03"/>
  <sheetViews>
    <sheetView showZeros="0" view="pageBreakPreview" topLeftCell="A67" zoomScale="80" zoomScaleNormal="100" zoomScaleSheetLayoutView="80" workbookViewId="0">
      <selection activeCell="C13" sqref="C1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13.42578125" style="5" customWidth="1"/>
    <col min="5" max="5" width="8.140625" style="369" customWidth="1"/>
    <col min="6" max="6" width="9.140625" style="369"/>
    <col min="7" max="7" width="9.140625" style="5"/>
    <col min="8" max="8" width="14.42578125" style="5" customWidth="1"/>
    <col min="9" max="16384" width="9.140625" style="5"/>
  </cols>
  <sheetData>
    <row r="1" spans="1:8" s="9" customFormat="1" ht="15">
      <c r="A1" s="548" t="s">
        <v>17</v>
      </c>
      <c r="B1" s="548"/>
      <c r="C1" s="548"/>
      <c r="D1" s="367"/>
      <c r="E1" s="369">
        <v>3.3</v>
      </c>
      <c r="F1" s="369"/>
      <c r="G1" s="36"/>
      <c r="H1" s="36"/>
    </row>
    <row r="2" spans="1:8" s="9" customFormat="1" ht="15">
      <c r="A2" s="549" t="str">
        <f>C13</f>
        <v>Ārējā kanalizācija K2</v>
      </c>
      <c r="B2" s="549"/>
      <c r="C2" s="549"/>
      <c r="D2" s="549"/>
      <c r="E2" s="549"/>
      <c r="F2" s="549"/>
      <c r="G2" s="549"/>
      <c r="H2" s="549"/>
    </row>
    <row r="3" spans="1:8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  <c r="H3" s="557"/>
    </row>
    <row r="4" spans="1:8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  <c r="H4" s="557"/>
    </row>
    <row r="5" spans="1:8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  <c r="H5" s="562"/>
    </row>
    <row r="6" spans="1:8">
      <c r="A6" s="6"/>
      <c r="B6" s="6" t="s">
        <v>18</v>
      </c>
      <c r="C6" s="7" t="str">
        <f>'1,1'!C6</f>
        <v>n</v>
      </c>
      <c r="D6" s="7"/>
      <c r="E6" s="417"/>
      <c r="F6" s="414"/>
      <c r="G6" s="37"/>
      <c r="H6" s="37"/>
    </row>
    <row r="7" spans="1:8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  <c r="H7" s="547"/>
    </row>
    <row r="8" spans="1:8">
      <c r="A8" s="8"/>
      <c r="B8" s="8"/>
      <c r="E8" s="418"/>
      <c r="F8" s="414"/>
      <c r="G8" s="14"/>
      <c r="H8" s="10"/>
    </row>
    <row r="9" spans="1:8" ht="15" customHeight="1">
      <c r="A9" s="16"/>
      <c r="B9" s="16"/>
      <c r="C9" s="4" t="str">
        <f>'1,1'!C9</f>
        <v>Tāme sastādīta:  2014.gada 22. septembris</v>
      </c>
      <c r="D9" s="4"/>
      <c r="G9" s="15"/>
      <c r="H9" s="15"/>
    </row>
    <row r="10" spans="1:8" ht="15">
      <c r="A10" s="16"/>
      <c r="B10" s="16"/>
    </row>
    <row r="11" spans="1:8" ht="14.25" customHeight="1">
      <c r="A11" s="552" t="s">
        <v>5</v>
      </c>
      <c r="B11" s="553" t="s">
        <v>7</v>
      </c>
      <c r="C11" s="558" t="s">
        <v>8</v>
      </c>
      <c r="D11" s="559"/>
      <c r="E11" s="556" t="s">
        <v>9</v>
      </c>
      <c r="F11" s="552" t="s">
        <v>10</v>
      </c>
      <c r="G11" s="550" t="s">
        <v>23</v>
      </c>
      <c r="H11" s="550" t="s">
        <v>24</v>
      </c>
    </row>
    <row r="12" spans="1:8" ht="59.25" customHeight="1">
      <c r="A12" s="552"/>
      <c r="B12" s="554"/>
      <c r="C12" s="560"/>
      <c r="D12" s="561"/>
      <c r="E12" s="556"/>
      <c r="F12" s="552"/>
      <c r="G12" s="551"/>
      <c r="H12" s="551"/>
    </row>
    <row r="13" spans="1:8" ht="15.75">
      <c r="A13" s="370"/>
      <c r="B13" s="426">
        <v>0</v>
      </c>
      <c r="C13" s="372" t="s">
        <v>1343</v>
      </c>
      <c r="D13" s="372"/>
      <c r="E13" s="373"/>
      <c r="F13" s="374"/>
      <c r="G13" s="375"/>
      <c r="H13" s="376"/>
    </row>
    <row r="14" spans="1:8">
      <c r="A14" s="382"/>
      <c r="B14" s="427"/>
      <c r="C14" s="428" t="s">
        <v>1290</v>
      </c>
      <c r="D14" s="429"/>
      <c r="E14" s="430"/>
      <c r="F14" s="430"/>
      <c r="G14" s="380"/>
      <c r="H14" s="381"/>
    </row>
    <row r="15" spans="1:8" ht="25.5">
      <c r="A15" s="431">
        <v>1</v>
      </c>
      <c r="B15" s="427" t="s">
        <v>673</v>
      </c>
      <c r="C15" s="432" t="s">
        <v>1291</v>
      </c>
      <c r="D15" s="433" t="s">
        <v>1292</v>
      </c>
      <c r="E15" s="434" t="s">
        <v>33</v>
      </c>
      <c r="F15" s="435">
        <v>66.802999999999997</v>
      </c>
      <c r="G15" s="380"/>
      <c r="H15" s="381"/>
    </row>
    <row r="16" spans="1:8" ht="25.5">
      <c r="A16" s="431">
        <v>2</v>
      </c>
      <c r="B16" s="427" t="s">
        <v>673</v>
      </c>
      <c r="C16" s="432" t="s">
        <v>1291</v>
      </c>
      <c r="D16" s="433" t="s">
        <v>1293</v>
      </c>
      <c r="E16" s="434" t="s">
        <v>33</v>
      </c>
      <c r="F16" s="435">
        <v>44.989999999999995</v>
      </c>
      <c r="G16" s="380"/>
      <c r="H16" s="381"/>
    </row>
    <row r="17" spans="1:8" ht="25.5">
      <c r="A17" s="431">
        <v>3</v>
      </c>
      <c r="B17" s="427" t="s">
        <v>673</v>
      </c>
      <c r="C17" s="432" t="s">
        <v>1291</v>
      </c>
      <c r="D17" s="433" t="s">
        <v>1294</v>
      </c>
      <c r="E17" s="434" t="s">
        <v>33</v>
      </c>
      <c r="F17" s="435">
        <v>40.15</v>
      </c>
      <c r="G17" s="380"/>
      <c r="H17" s="381"/>
    </row>
    <row r="18" spans="1:8" ht="25.5">
      <c r="A18" s="431">
        <v>4</v>
      </c>
      <c r="B18" s="427" t="s">
        <v>673</v>
      </c>
      <c r="C18" s="432" t="s">
        <v>1291</v>
      </c>
      <c r="D18" s="433" t="s">
        <v>1295</v>
      </c>
      <c r="E18" s="434" t="s">
        <v>33</v>
      </c>
      <c r="F18" s="435">
        <v>123.893</v>
      </c>
      <c r="G18" s="380"/>
      <c r="H18" s="381"/>
    </row>
    <row r="19" spans="1:8" ht="25.5">
      <c r="A19" s="431">
        <v>5</v>
      </c>
      <c r="B19" s="427" t="s">
        <v>673</v>
      </c>
      <c r="C19" s="432" t="s">
        <v>1296</v>
      </c>
      <c r="D19" s="433" t="s">
        <v>1289</v>
      </c>
      <c r="E19" s="434" t="s">
        <v>33</v>
      </c>
      <c r="F19" s="435">
        <v>1.1000000000000001</v>
      </c>
      <c r="G19" s="380"/>
      <c r="H19" s="381"/>
    </row>
    <row r="20" spans="1:8" ht="63.75">
      <c r="A20" s="431">
        <v>6</v>
      </c>
      <c r="B20" s="427" t="s">
        <v>673</v>
      </c>
      <c r="C20" s="432" t="s">
        <v>1297</v>
      </c>
      <c r="D20" s="433" t="s">
        <v>1298</v>
      </c>
      <c r="E20" s="434" t="s">
        <v>108</v>
      </c>
      <c r="F20" s="435">
        <v>1</v>
      </c>
      <c r="G20" s="380"/>
      <c r="H20" s="381"/>
    </row>
    <row r="21" spans="1:8" ht="63.75">
      <c r="A21" s="431">
        <v>7</v>
      </c>
      <c r="B21" s="427" t="s">
        <v>673</v>
      </c>
      <c r="C21" s="432" t="s">
        <v>1299</v>
      </c>
      <c r="D21" s="433" t="s">
        <v>1298</v>
      </c>
      <c r="E21" s="434" t="s">
        <v>108</v>
      </c>
      <c r="F21" s="435">
        <v>7</v>
      </c>
      <c r="G21" s="380"/>
      <c r="H21" s="381"/>
    </row>
    <row r="22" spans="1:8" ht="63.75">
      <c r="A22" s="431">
        <v>8</v>
      </c>
      <c r="B22" s="427" t="s">
        <v>673</v>
      </c>
      <c r="C22" s="432" t="s">
        <v>1300</v>
      </c>
      <c r="D22" s="433" t="s">
        <v>1298</v>
      </c>
      <c r="E22" s="434" t="s">
        <v>108</v>
      </c>
      <c r="F22" s="435">
        <v>6</v>
      </c>
      <c r="G22" s="380"/>
      <c r="H22" s="381"/>
    </row>
    <row r="23" spans="1:8" ht="63.75">
      <c r="A23" s="431">
        <v>9</v>
      </c>
      <c r="B23" s="427" t="s">
        <v>673</v>
      </c>
      <c r="C23" s="432" t="s">
        <v>1301</v>
      </c>
      <c r="D23" s="433" t="s">
        <v>1302</v>
      </c>
      <c r="E23" s="434" t="s">
        <v>108</v>
      </c>
      <c r="F23" s="435">
        <v>1</v>
      </c>
      <c r="G23" s="380"/>
      <c r="H23" s="381"/>
    </row>
    <row r="24" spans="1:8" ht="63.75">
      <c r="A24" s="431">
        <v>10</v>
      </c>
      <c r="B24" s="427" t="s">
        <v>673</v>
      </c>
      <c r="C24" s="432" t="s">
        <v>1303</v>
      </c>
      <c r="D24" s="433" t="s">
        <v>1302</v>
      </c>
      <c r="E24" s="434" t="s">
        <v>108</v>
      </c>
      <c r="F24" s="435">
        <v>1</v>
      </c>
      <c r="G24" s="380"/>
      <c r="H24" s="381"/>
    </row>
    <row r="25" spans="1:8" ht="25.5">
      <c r="A25" s="431">
        <v>11</v>
      </c>
      <c r="B25" s="427" t="s">
        <v>673</v>
      </c>
      <c r="C25" s="432" t="s">
        <v>1304</v>
      </c>
      <c r="D25" s="436" t="s">
        <v>1305</v>
      </c>
      <c r="E25" s="434" t="s">
        <v>108</v>
      </c>
      <c r="F25" s="437">
        <v>2</v>
      </c>
      <c r="G25" s="380"/>
      <c r="H25" s="381"/>
    </row>
    <row r="26" spans="1:8">
      <c r="A26" s="431">
        <v>12</v>
      </c>
      <c r="B26" s="427" t="s">
        <v>673</v>
      </c>
      <c r="C26" s="432" t="s">
        <v>1306</v>
      </c>
      <c r="D26" s="438" t="s">
        <v>1292</v>
      </c>
      <c r="E26" s="434" t="s">
        <v>38</v>
      </c>
      <c r="F26" s="439">
        <v>10</v>
      </c>
      <c r="G26" s="380"/>
      <c r="H26" s="381"/>
    </row>
    <row r="27" spans="1:8">
      <c r="A27" s="431">
        <v>13</v>
      </c>
      <c r="B27" s="427" t="s">
        <v>673</v>
      </c>
      <c r="C27" s="432" t="s">
        <v>1306</v>
      </c>
      <c r="D27" s="438" t="s">
        <v>1293</v>
      </c>
      <c r="E27" s="434" t="s">
        <v>38</v>
      </c>
      <c r="F27" s="439">
        <v>8</v>
      </c>
      <c r="G27" s="380"/>
      <c r="H27" s="381"/>
    </row>
    <row r="28" spans="1:8">
      <c r="A28" s="431">
        <v>14</v>
      </c>
      <c r="B28" s="427" t="s">
        <v>673</v>
      </c>
      <c r="C28" s="432" t="s">
        <v>1306</v>
      </c>
      <c r="D28" s="438" t="s">
        <v>1294</v>
      </c>
      <c r="E28" s="434" t="s">
        <v>38</v>
      </c>
      <c r="F28" s="439">
        <v>4</v>
      </c>
      <c r="G28" s="380"/>
      <c r="H28" s="381"/>
    </row>
    <row r="29" spans="1:8">
      <c r="A29" s="431">
        <v>15</v>
      </c>
      <c r="B29" s="427" t="s">
        <v>673</v>
      </c>
      <c r="C29" s="432" t="s">
        <v>1306</v>
      </c>
      <c r="D29" s="438" t="s">
        <v>1295</v>
      </c>
      <c r="E29" s="434" t="s">
        <v>38</v>
      </c>
      <c r="F29" s="439">
        <v>13</v>
      </c>
      <c r="G29" s="380"/>
      <c r="H29" s="381"/>
    </row>
    <row r="30" spans="1:8">
      <c r="A30" s="431">
        <v>16</v>
      </c>
      <c r="B30" s="427" t="s">
        <v>673</v>
      </c>
      <c r="C30" s="432" t="s">
        <v>1306</v>
      </c>
      <c r="D30" s="438" t="s">
        <v>1307</v>
      </c>
      <c r="E30" s="434" t="s">
        <v>38</v>
      </c>
      <c r="F30" s="439">
        <v>2</v>
      </c>
      <c r="G30" s="380"/>
      <c r="H30" s="381"/>
    </row>
    <row r="31" spans="1:8" ht="51">
      <c r="A31" s="431">
        <v>17</v>
      </c>
      <c r="B31" s="427" t="s">
        <v>673</v>
      </c>
      <c r="C31" s="432" t="s">
        <v>749</v>
      </c>
      <c r="D31" s="440" t="s">
        <v>1308</v>
      </c>
      <c r="E31" s="434" t="s">
        <v>108</v>
      </c>
      <c r="F31" s="441">
        <v>1</v>
      </c>
      <c r="G31" s="380"/>
      <c r="H31" s="381"/>
    </row>
    <row r="32" spans="1:8" ht="38.25">
      <c r="A32" s="431">
        <v>18</v>
      </c>
      <c r="B32" s="427" t="s">
        <v>673</v>
      </c>
      <c r="C32" s="432" t="s">
        <v>109</v>
      </c>
      <c r="D32" s="399"/>
      <c r="E32" s="434" t="s">
        <v>38</v>
      </c>
      <c r="F32" s="442">
        <v>2</v>
      </c>
      <c r="G32" s="380"/>
      <c r="H32" s="381"/>
    </row>
    <row r="33" spans="1:8" ht="51">
      <c r="A33" s="431">
        <v>19</v>
      </c>
      <c r="B33" s="427" t="s">
        <v>673</v>
      </c>
      <c r="C33" s="432" t="s">
        <v>110</v>
      </c>
      <c r="D33" s="399"/>
      <c r="E33" s="434" t="s">
        <v>108</v>
      </c>
      <c r="F33" s="442">
        <v>2</v>
      </c>
      <c r="G33" s="380"/>
      <c r="H33" s="381"/>
    </row>
    <row r="34" spans="1:8">
      <c r="A34" s="431">
        <v>20</v>
      </c>
      <c r="B34" s="427" t="s">
        <v>673</v>
      </c>
      <c r="C34" s="432" t="s">
        <v>111</v>
      </c>
      <c r="D34" s="399"/>
      <c r="E34" s="434" t="s">
        <v>38</v>
      </c>
      <c r="F34" s="442">
        <v>1</v>
      </c>
      <c r="G34" s="380"/>
      <c r="H34" s="381"/>
    </row>
    <row r="35" spans="1:8" ht="25.5">
      <c r="A35" s="431">
        <v>21</v>
      </c>
      <c r="B35" s="427" t="s">
        <v>673</v>
      </c>
      <c r="C35" s="432" t="s">
        <v>112</v>
      </c>
      <c r="D35" s="399"/>
      <c r="E35" s="434" t="s">
        <v>108</v>
      </c>
      <c r="F35" s="442">
        <v>1</v>
      </c>
      <c r="G35" s="380"/>
      <c r="H35" s="381"/>
    </row>
    <row r="36" spans="1:8" ht="38.25">
      <c r="A36" s="431">
        <v>22</v>
      </c>
      <c r="B36" s="427" t="s">
        <v>673</v>
      </c>
      <c r="C36" s="432" t="s">
        <v>1309</v>
      </c>
      <c r="D36" s="399" t="s">
        <v>1310</v>
      </c>
      <c r="E36" s="434" t="s">
        <v>108</v>
      </c>
      <c r="F36" s="442">
        <v>1</v>
      </c>
      <c r="G36" s="380"/>
      <c r="H36" s="381"/>
    </row>
    <row r="37" spans="1:8" ht="25.5">
      <c r="A37" s="431">
        <v>23</v>
      </c>
      <c r="B37" s="427" t="s">
        <v>673</v>
      </c>
      <c r="C37" s="432" t="s">
        <v>113</v>
      </c>
      <c r="D37" s="433"/>
      <c r="E37" s="434" t="s">
        <v>40</v>
      </c>
      <c r="F37" s="435">
        <v>2</v>
      </c>
      <c r="G37" s="380"/>
      <c r="H37" s="381"/>
    </row>
    <row r="38" spans="1:8" ht="25.5">
      <c r="A38" s="431">
        <v>24</v>
      </c>
      <c r="B38" s="427" t="s">
        <v>673</v>
      </c>
      <c r="C38" s="432" t="s">
        <v>79</v>
      </c>
      <c r="D38" s="433"/>
      <c r="E38" s="434" t="s">
        <v>40</v>
      </c>
      <c r="F38" s="435">
        <v>1</v>
      </c>
      <c r="G38" s="380"/>
      <c r="H38" s="381"/>
    </row>
    <row r="39" spans="1:8" ht="25.5">
      <c r="A39" s="431">
        <v>25</v>
      </c>
      <c r="B39" s="427" t="s">
        <v>673</v>
      </c>
      <c r="C39" s="432" t="s">
        <v>1311</v>
      </c>
      <c r="D39" s="433" t="s">
        <v>1312</v>
      </c>
      <c r="E39" s="434" t="s">
        <v>40</v>
      </c>
      <c r="F39" s="435">
        <v>1</v>
      </c>
      <c r="G39" s="380"/>
      <c r="H39" s="381"/>
    </row>
    <row r="40" spans="1:8" ht="25.5">
      <c r="A40" s="431">
        <v>26</v>
      </c>
      <c r="B40" s="427" t="s">
        <v>673</v>
      </c>
      <c r="C40" s="432" t="s">
        <v>1311</v>
      </c>
      <c r="D40" s="433" t="s">
        <v>1313</v>
      </c>
      <c r="E40" s="434" t="s">
        <v>40</v>
      </c>
      <c r="F40" s="435">
        <v>2</v>
      </c>
      <c r="G40" s="380"/>
      <c r="H40" s="381"/>
    </row>
    <row r="41" spans="1:8" ht="25.5">
      <c r="A41" s="431">
        <v>27</v>
      </c>
      <c r="B41" s="427" t="s">
        <v>673</v>
      </c>
      <c r="C41" s="432" t="s">
        <v>83</v>
      </c>
      <c r="D41" s="433"/>
      <c r="E41" s="434" t="s">
        <v>40</v>
      </c>
      <c r="F41" s="435">
        <v>2</v>
      </c>
      <c r="G41" s="380"/>
      <c r="H41" s="381"/>
    </row>
    <row r="42" spans="1:8" ht="25.5">
      <c r="A42" s="431">
        <v>28</v>
      </c>
      <c r="B42" s="427" t="s">
        <v>673</v>
      </c>
      <c r="C42" s="432" t="s">
        <v>160</v>
      </c>
      <c r="D42" s="433" t="s">
        <v>1314</v>
      </c>
      <c r="E42" s="434" t="s">
        <v>40</v>
      </c>
      <c r="F42" s="435">
        <v>4</v>
      </c>
      <c r="G42" s="380"/>
      <c r="H42" s="381"/>
    </row>
    <row r="43" spans="1:8">
      <c r="A43" s="431">
        <v>29</v>
      </c>
      <c r="B43" s="427" t="s">
        <v>673</v>
      </c>
      <c r="C43" s="432" t="s">
        <v>114</v>
      </c>
      <c r="D43" s="433"/>
      <c r="E43" s="434" t="s">
        <v>40</v>
      </c>
      <c r="F43" s="435">
        <v>4</v>
      </c>
      <c r="G43" s="380"/>
      <c r="H43" s="381"/>
    </row>
    <row r="44" spans="1:8">
      <c r="A44" s="431">
        <v>30</v>
      </c>
      <c r="B44" s="427" t="s">
        <v>673</v>
      </c>
      <c r="C44" s="432" t="s">
        <v>1315</v>
      </c>
      <c r="D44" s="433" t="s">
        <v>1316</v>
      </c>
      <c r="E44" s="434" t="s">
        <v>40</v>
      </c>
      <c r="F44" s="435">
        <v>1</v>
      </c>
      <c r="G44" s="380"/>
      <c r="H44" s="381"/>
    </row>
    <row r="45" spans="1:8">
      <c r="A45" s="431">
        <v>31</v>
      </c>
      <c r="B45" s="427" t="s">
        <v>673</v>
      </c>
      <c r="C45" s="432" t="s">
        <v>1315</v>
      </c>
      <c r="D45" s="433" t="s">
        <v>1312</v>
      </c>
      <c r="E45" s="434" t="s">
        <v>40</v>
      </c>
      <c r="F45" s="435">
        <v>1</v>
      </c>
      <c r="G45" s="380"/>
      <c r="H45" s="381"/>
    </row>
    <row r="46" spans="1:8" ht="25.5">
      <c r="A46" s="431">
        <v>32</v>
      </c>
      <c r="B46" s="427" t="s">
        <v>673</v>
      </c>
      <c r="C46" s="432" t="s">
        <v>115</v>
      </c>
      <c r="D46" s="433"/>
      <c r="E46" s="434" t="s">
        <v>40</v>
      </c>
      <c r="F46" s="435">
        <v>1</v>
      </c>
      <c r="G46" s="380"/>
      <c r="H46" s="381"/>
    </row>
    <row r="47" spans="1:8" ht="25.5">
      <c r="A47" s="431">
        <v>33</v>
      </c>
      <c r="B47" s="427" t="s">
        <v>673</v>
      </c>
      <c r="C47" s="432" t="s">
        <v>1317</v>
      </c>
      <c r="D47" s="433" t="s">
        <v>1318</v>
      </c>
      <c r="E47" s="434" t="s">
        <v>40</v>
      </c>
      <c r="F47" s="435">
        <v>3</v>
      </c>
      <c r="G47" s="380"/>
      <c r="H47" s="381"/>
    </row>
    <row r="48" spans="1:8" ht="25.5">
      <c r="A48" s="431">
        <v>34</v>
      </c>
      <c r="B48" s="427" t="s">
        <v>673</v>
      </c>
      <c r="C48" s="432" t="s">
        <v>1319</v>
      </c>
      <c r="D48" s="433" t="s">
        <v>1320</v>
      </c>
      <c r="E48" s="434" t="s">
        <v>40</v>
      </c>
      <c r="F48" s="435">
        <v>1</v>
      </c>
      <c r="G48" s="380"/>
      <c r="H48" s="381"/>
    </row>
    <row r="49" spans="1:8" ht="25.5">
      <c r="A49" s="431">
        <v>35</v>
      </c>
      <c r="B49" s="427" t="s">
        <v>673</v>
      </c>
      <c r="C49" s="432" t="s">
        <v>1319</v>
      </c>
      <c r="D49" s="433" t="s">
        <v>1289</v>
      </c>
      <c r="E49" s="434" t="s">
        <v>40</v>
      </c>
      <c r="F49" s="435">
        <v>2</v>
      </c>
      <c r="G49" s="380"/>
      <c r="H49" s="381"/>
    </row>
    <row r="50" spans="1:8" ht="25.5">
      <c r="A50" s="431">
        <v>36</v>
      </c>
      <c r="B50" s="427" t="s">
        <v>673</v>
      </c>
      <c r="C50" s="432" t="s">
        <v>1321</v>
      </c>
      <c r="D50" s="433" t="s">
        <v>1322</v>
      </c>
      <c r="E50" s="434" t="s">
        <v>40</v>
      </c>
      <c r="F50" s="435">
        <v>2</v>
      </c>
      <c r="G50" s="380"/>
      <c r="H50" s="381"/>
    </row>
    <row r="51" spans="1:8" ht="38.25">
      <c r="A51" s="431">
        <v>37</v>
      </c>
      <c r="B51" s="427" t="s">
        <v>673</v>
      </c>
      <c r="C51" s="432" t="s">
        <v>45</v>
      </c>
      <c r="D51" s="399"/>
      <c r="E51" s="434" t="s">
        <v>108</v>
      </c>
      <c r="F51" s="442">
        <v>1</v>
      </c>
      <c r="G51" s="380"/>
      <c r="H51" s="381"/>
    </row>
    <row r="52" spans="1:8" ht="25.5">
      <c r="A52" s="431">
        <v>38</v>
      </c>
      <c r="B52" s="427" t="s">
        <v>673</v>
      </c>
      <c r="C52" s="432" t="s">
        <v>46</v>
      </c>
      <c r="D52" s="399"/>
      <c r="E52" s="434" t="s">
        <v>108</v>
      </c>
      <c r="F52" s="442">
        <v>1</v>
      </c>
      <c r="G52" s="380"/>
      <c r="H52" s="381"/>
    </row>
    <row r="53" spans="1:8" ht="25.5">
      <c r="A53" s="431">
        <v>39</v>
      </c>
      <c r="B53" s="427" t="s">
        <v>673</v>
      </c>
      <c r="C53" s="432" t="s">
        <v>116</v>
      </c>
      <c r="D53" s="443"/>
      <c r="E53" s="444" t="s">
        <v>33</v>
      </c>
      <c r="F53" s="445">
        <v>251.76</v>
      </c>
      <c r="G53" s="380"/>
      <c r="H53" s="381"/>
    </row>
    <row r="54" spans="1:8">
      <c r="A54" s="431"/>
      <c r="B54" s="427" t="s">
        <v>673</v>
      </c>
      <c r="C54" s="432" t="s">
        <v>1323</v>
      </c>
      <c r="D54" s="443"/>
      <c r="E54" s="444" t="s">
        <v>108</v>
      </c>
      <c r="F54" s="445">
        <v>1</v>
      </c>
      <c r="G54" s="380"/>
      <c r="H54" s="381"/>
    </row>
    <row r="55" spans="1:8" ht="25.5">
      <c r="A55" s="431">
        <v>40</v>
      </c>
      <c r="B55" s="427" t="s">
        <v>673</v>
      </c>
      <c r="C55" s="432" t="s">
        <v>88</v>
      </c>
      <c r="D55" s="399"/>
      <c r="E55" s="434" t="s">
        <v>33</v>
      </c>
      <c r="F55" s="442">
        <v>251.76</v>
      </c>
      <c r="G55" s="380"/>
      <c r="H55" s="381"/>
    </row>
    <row r="56" spans="1:8">
      <c r="A56" s="431">
        <v>41</v>
      </c>
      <c r="B56" s="427" t="s">
        <v>673</v>
      </c>
      <c r="C56" s="432" t="s">
        <v>1324</v>
      </c>
      <c r="D56" s="433" t="s">
        <v>1325</v>
      </c>
      <c r="E56" s="434" t="s">
        <v>40</v>
      </c>
      <c r="F56" s="446">
        <v>1</v>
      </c>
      <c r="G56" s="380"/>
      <c r="H56" s="381"/>
    </row>
    <row r="57" spans="1:8">
      <c r="A57" s="431">
        <v>42</v>
      </c>
      <c r="B57" s="427" t="s">
        <v>673</v>
      </c>
      <c r="C57" s="432" t="s">
        <v>117</v>
      </c>
      <c r="D57" s="433"/>
      <c r="E57" s="434" t="s">
        <v>33</v>
      </c>
      <c r="F57" s="446">
        <v>12</v>
      </c>
      <c r="G57" s="380"/>
      <c r="H57" s="381"/>
    </row>
    <row r="58" spans="1:8">
      <c r="A58" s="431">
        <v>43</v>
      </c>
      <c r="B58" s="462" t="s">
        <v>31</v>
      </c>
      <c r="C58" s="463" t="s">
        <v>50</v>
      </c>
      <c r="D58" s="463"/>
      <c r="E58" s="462" t="s">
        <v>33</v>
      </c>
      <c r="F58" s="464">
        <v>252</v>
      </c>
      <c r="G58" s="380"/>
      <c r="H58" s="381"/>
    </row>
    <row r="59" spans="1:8">
      <c r="A59" s="431">
        <v>44</v>
      </c>
      <c r="B59" s="462" t="s">
        <v>31</v>
      </c>
      <c r="C59" s="463" t="s">
        <v>51</v>
      </c>
      <c r="D59" s="463"/>
      <c r="E59" s="462" t="s">
        <v>44</v>
      </c>
      <c r="F59" s="462">
        <v>1</v>
      </c>
      <c r="G59" s="380"/>
      <c r="H59" s="381"/>
    </row>
    <row r="60" spans="1:8">
      <c r="A60" s="382"/>
      <c r="B60" s="427"/>
      <c r="C60" s="428" t="s">
        <v>118</v>
      </c>
      <c r="D60" s="447"/>
      <c r="E60" s="427"/>
      <c r="F60" s="448"/>
      <c r="G60" s="380"/>
      <c r="H60" s="381"/>
    </row>
    <row r="61" spans="1:8" ht="25.5">
      <c r="A61" s="431">
        <v>1</v>
      </c>
      <c r="B61" s="427" t="s">
        <v>673</v>
      </c>
      <c r="C61" s="432" t="s">
        <v>91</v>
      </c>
      <c r="D61" s="447"/>
      <c r="E61" s="427" t="s">
        <v>822</v>
      </c>
      <c r="F61" s="448">
        <v>830.80800000000011</v>
      </c>
      <c r="G61" s="380"/>
      <c r="H61" s="381"/>
    </row>
    <row r="62" spans="1:8">
      <c r="A62" s="431">
        <v>2</v>
      </c>
      <c r="B62" s="427" t="s">
        <v>673</v>
      </c>
      <c r="C62" s="432" t="s">
        <v>55</v>
      </c>
      <c r="D62" s="449"/>
      <c r="E62" s="450" t="s">
        <v>822</v>
      </c>
      <c r="F62" s="451">
        <v>83.080800000000011</v>
      </c>
      <c r="G62" s="380"/>
      <c r="H62" s="381"/>
    </row>
    <row r="63" spans="1:8" ht="25.5">
      <c r="A63" s="431">
        <v>3</v>
      </c>
      <c r="B63" s="427" t="s">
        <v>673</v>
      </c>
      <c r="C63" s="432" t="s">
        <v>56</v>
      </c>
      <c r="D63" s="433"/>
      <c r="E63" s="452" t="s">
        <v>822</v>
      </c>
      <c r="F63" s="435">
        <v>83.080800000000011</v>
      </c>
      <c r="G63" s="380"/>
      <c r="H63" s="381"/>
    </row>
    <row r="64" spans="1:8" ht="25.5">
      <c r="A64" s="431">
        <v>4</v>
      </c>
      <c r="B64" s="427" t="s">
        <v>673</v>
      </c>
      <c r="C64" s="432" t="s">
        <v>57</v>
      </c>
      <c r="D64" s="433"/>
      <c r="E64" s="452" t="s">
        <v>822</v>
      </c>
      <c r="F64" s="435">
        <v>166.16160000000002</v>
      </c>
      <c r="G64" s="380"/>
      <c r="H64" s="381"/>
    </row>
    <row r="65" spans="1:8">
      <c r="A65" s="431">
        <v>5</v>
      </c>
      <c r="B65" s="427" t="s">
        <v>673</v>
      </c>
      <c r="C65" s="432" t="s">
        <v>58</v>
      </c>
      <c r="D65" s="433"/>
      <c r="E65" s="452" t="s">
        <v>822</v>
      </c>
      <c r="F65" s="435">
        <v>664.6464000000002</v>
      </c>
      <c r="G65" s="380"/>
      <c r="H65" s="381"/>
    </row>
    <row r="66" spans="1:8">
      <c r="A66" s="431">
        <v>6</v>
      </c>
      <c r="B66" s="427" t="s">
        <v>673</v>
      </c>
      <c r="C66" s="432" t="s">
        <v>1326</v>
      </c>
      <c r="D66" s="433"/>
      <c r="E66" s="452" t="s">
        <v>822</v>
      </c>
      <c r="F66" s="435">
        <v>249.24240000000003</v>
      </c>
      <c r="G66" s="380"/>
      <c r="H66" s="381"/>
    </row>
    <row r="67" spans="1:8" ht="25.5">
      <c r="A67" s="431">
        <v>7</v>
      </c>
      <c r="B67" s="427" t="s">
        <v>673</v>
      </c>
      <c r="C67" s="432" t="s">
        <v>119</v>
      </c>
      <c r="D67" s="433"/>
      <c r="E67" s="452" t="s">
        <v>822</v>
      </c>
      <c r="F67" s="435">
        <v>1</v>
      </c>
      <c r="G67" s="380"/>
      <c r="H67" s="381"/>
    </row>
    <row r="68" spans="1:8" ht="25.5">
      <c r="A68" s="431">
        <v>8</v>
      </c>
      <c r="B68" s="427" t="s">
        <v>673</v>
      </c>
      <c r="C68" s="432" t="s">
        <v>1327</v>
      </c>
      <c r="D68" s="433"/>
      <c r="E68" s="452" t="s">
        <v>822</v>
      </c>
      <c r="F68" s="435">
        <v>6</v>
      </c>
      <c r="G68" s="380"/>
      <c r="H68" s="381"/>
    </row>
    <row r="69" spans="1:8" ht="38.25">
      <c r="A69" s="431">
        <v>9</v>
      </c>
      <c r="B69" s="427" t="s">
        <v>673</v>
      </c>
      <c r="C69" s="432" t="s">
        <v>1328</v>
      </c>
      <c r="D69" s="433" t="s">
        <v>1329</v>
      </c>
      <c r="E69" s="452" t="s">
        <v>822</v>
      </c>
      <c r="F69" s="435">
        <v>3</v>
      </c>
      <c r="G69" s="380"/>
      <c r="H69" s="381"/>
    </row>
    <row r="70" spans="1:8" ht="25.5">
      <c r="A70" s="431">
        <v>10</v>
      </c>
      <c r="B70" s="427" t="s">
        <v>673</v>
      </c>
      <c r="C70" s="432" t="s">
        <v>1330</v>
      </c>
      <c r="D70" s="453"/>
      <c r="E70" s="430" t="s">
        <v>130</v>
      </c>
      <c r="F70" s="454">
        <v>9</v>
      </c>
      <c r="G70" s="380"/>
      <c r="H70" s="381"/>
    </row>
    <row r="71" spans="1:8">
      <c r="A71" s="431">
        <v>11</v>
      </c>
      <c r="B71" s="427" t="s">
        <v>673</v>
      </c>
      <c r="C71" s="432" t="s">
        <v>1331</v>
      </c>
      <c r="D71" s="449"/>
      <c r="E71" s="450" t="s">
        <v>130</v>
      </c>
      <c r="F71" s="451">
        <v>18</v>
      </c>
      <c r="G71" s="380"/>
      <c r="H71" s="381"/>
    </row>
    <row r="72" spans="1:8">
      <c r="A72" s="382"/>
      <c r="B72" s="427"/>
      <c r="C72" s="428" t="s">
        <v>120</v>
      </c>
      <c r="D72" s="433"/>
      <c r="E72" s="455"/>
      <c r="F72" s="435"/>
      <c r="G72" s="380"/>
      <c r="H72" s="381"/>
    </row>
    <row r="73" spans="1:8">
      <c r="A73" s="431">
        <v>1</v>
      </c>
      <c r="B73" s="427" t="s">
        <v>673</v>
      </c>
      <c r="C73" s="432" t="s">
        <v>121</v>
      </c>
      <c r="D73" s="433"/>
      <c r="E73" s="452" t="s">
        <v>33</v>
      </c>
      <c r="F73" s="435">
        <v>25.61</v>
      </c>
      <c r="G73" s="380"/>
      <c r="H73" s="381"/>
    </row>
    <row r="74" spans="1:8">
      <c r="A74" s="431">
        <v>2</v>
      </c>
      <c r="B74" s="427" t="s">
        <v>673</v>
      </c>
      <c r="C74" s="432" t="s">
        <v>122</v>
      </c>
      <c r="D74" s="456"/>
      <c r="E74" s="452" t="s">
        <v>38</v>
      </c>
      <c r="F74" s="457">
        <v>2</v>
      </c>
      <c r="G74" s="380"/>
      <c r="H74" s="381"/>
    </row>
    <row r="75" spans="1:8">
      <c r="A75" s="431">
        <v>3</v>
      </c>
      <c r="B75" s="427" t="s">
        <v>673</v>
      </c>
      <c r="C75" s="432" t="s">
        <v>96</v>
      </c>
      <c r="D75" s="458"/>
      <c r="E75" s="452" t="s">
        <v>711</v>
      </c>
      <c r="F75" s="457">
        <v>77.7</v>
      </c>
      <c r="G75" s="380"/>
      <c r="H75" s="381"/>
    </row>
    <row r="76" spans="1:8">
      <c r="A76" s="431">
        <v>4</v>
      </c>
      <c r="B76" s="427" t="s">
        <v>673</v>
      </c>
      <c r="C76" s="432" t="s">
        <v>97</v>
      </c>
      <c r="D76" s="458"/>
      <c r="E76" s="452" t="s">
        <v>711</v>
      </c>
      <c r="F76" s="457">
        <v>39.489999999999995</v>
      </c>
      <c r="G76" s="380"/>
      <c r="H76" s="381"/>
    </row>
    <row r="77" spans="1:8">
      <c r="A77" s="431">
        <v>5</v>
      </c>
      <c r="B77" s="427" t="s">
        <v>673</v>
      </c>
      <c r="C77" s="432" t="s">
        <v>64</v>
      </c>
      <c r="D77" s="453"/>
      <c r="E77" s="430" t="s">
        <v>711</v>
      </c>
      <c r="F77" s="454">
        <v>368</v>
      </c>
      <c r="G77" s="380"/>
      <c r="H77" s="381"/>
    </row>
    <row r="78" spans="1:8">
      <c r="A78" s="382"/>
      <c r="B78" s="427"/>
      <c r="C78" s="428" t="s">
        <v>123</v>
      </c>
      <c r="D78" s="449"/>
      <c r="E78" s="450"/>
      <c r="F78" s="451"/>
      <c r="G78" s="380"/>
      <c r="H78" s="381"/>
    </row>
    <row r="79" spans="1:8">
      <c r="A79" s="431">
        <v>1</v>
      </c>
      <c r="B79" s="427" t="s">
        <v>673</v>
      </c>
      <c r="C79" s="432" t="s">
        <v>100</v>
      </c>
      <c r="D79" s="399"/>
      <c r="E79" s="452" t="s">
        <v>822</v>
      </c>
      <c r="F79" s="442">
        <v>1.1599999999999999</v>
      </c>
      <c r="G79" s="380"/>
      <c r="H79" s="381"/>
    </row>
    <row r="80" spans="1:8">
      <c r="A80" s="431">
        <v>2</v>
      </c>
      <c r="B80" s="427" t="s">
        <v>673</v>
      </c>
      <c r="C80" s="432" t="s">
        <v>1332</v>
      </c>
      <c r="D80" s="399"/>
      <c r="E80" s="452" t="s">
        <v>822</v>
      </c>
      <c r="F80" s="442">
        <v>1.74</v>
      </c>
      <c r="G80" s="380"/>
      <c r="H80" s="381"/>
    </row>
    <row r="81" spans="1:8">
      <c r="A81" s="431">
        <v>3</v>
      </c>
      <c r="B81" s="427" t="s">
        <v>673</v>
      </c>
      <c r="C81" s="432" t="s">
        <v>101</v>
      </c>
      <c r="D81" s="399"/>
      <c r="E81" s="452" t="s">
        <v>822</v>
      </c>
      <c r="F81" s="442">
        <v>7.25</v>
      </c>
      <c r="G81" s="380"/>
      <c r="H81" s="381"/>
    </row>
    <row r="82" spans="1:8">
      <c r="A82" s="431">
        <v>4</v>
      </c>
      <c r="B82" s="427" t="s">
        <v>673</v>
      </c>
      <c r="C82" s="432" t="s">
        <v>102</v>
      </c>
      <c r="D82" s="399"/>
      <c r="E82" s="452" t="s">
        <v>822</v>
      </c>
      <c r="F82" s="442">
        <v>8.6999999999999993</v>
      </c>
      <c r="G82" s="380"/>
      <c r="H82" s="381"/>
    </row>
    <row r="83" spans="1:8">
      <c r="A83" s="431">
        <v>5</v>
      </c>
      <c r="B83" s="427" t="s">
        <v>673</v>
      </c>
      <c r="C83" s="432" t="s">
        <v>103</v>
      </c>
      <c r="D83" s="433"/>
      <c r="E83" s="452" t="s">
        <v>711</v>
      </c>
      <c r="F83" s="435">
        <v>39.6</v>
      </c>
      <c r="G83" s="380"/>
      <c r="H83" s="381"/>
    </row>
    <row r="84" spans="1:8">
      <c r="A84" s="431">
        <v>6</v>
      </c>
      <c r="B84" s="427" t="s">
        <v>673</v>
      </c>
      <c r="C84" s="432" t="s">
        <v>104</v>
      </c>
      <c r="D84" s="399"/>
      <c r="E84" s="452" t="s">
        <v>711</v>
      </c>
      <c r="F84" s="442">
        <v>88.41</v>
      </c>
      <c r="G84" s="380"/>
      <c r="H84" s="381"/>
    </row>
    <row r="85" spans="1:8">
      <c r="A85" s="431">
        <v>7</v>
      </c>
      <c r="B85" s="427" t="s">
        <v>673</v>
      </c>
      <c r="C85" s="432" t="s">
        <v>105</v>
      </c>
      <c r="D85" s="399"/>
      <c r="E85" s="452" t="s">
        <v>822</v>
      </c>
      <c r="F85" s="442">
        <v>13.2615</v>
      </c>
      <c r="G85" s="380"/>
      <c r="H85" s="381"/>
    </row>
    <row r="86" spans="1:8">
      <c r="A86" s="431">
        <v>8</v>
      </c>
      <c r="B86" s="427" t="s">
        <v>673</v>
      </c>
      <c r="C86" s="432" t="s">
        <v>1333</v>
      </c>
      <c r="D86" s="433"/>
      <c r="E86" s="452" t="s">
        <v>107</v>
      </c>
      <c r="F86" s="435">
        <v>3.5364</v>
      </c>
      <c r="G86" s="380"/>
      <c r="H86" s="381"/>
    </row>
    <row r="87" spans="1:8" ht="25.5">
      <c r="A87" s="431">
        <v>9</v>
      </c>
      <c r="B87" s="427" t="s">
        <v>673</v>
      </c>
      <c r="C87" s="432" t="s">
        <v>124</v>
      </c>
      <c r="D87" s="458"/>
      <c r="E87" s="452" t="s">
        <v>108</v>
      </c>
      <c r="F87" s="457">
        <v>1</v>
      </c>
      <c r="G87" s="380"/>
      <c r="H87" s="381"/>
    </row>
    <row r="88" spans="1:8">
      <c r="A88" s="408"/>
      <c r="B88" s="409"/>
      <c r="C88" s="459"/>
      <c r="D88" s="459"/>
      <c r="E88" s="411"/>
      <c r="F88" s="412"/>
      <c r="G88" s="460"/>
      <c r="H88" s="461"/>
    </row>
    <row r="89" spans="1:8" s="17" customFormat="1">
      <c r="A89" s="420"/>
      <c r="B89" s="421"/>
      <c r="C89" s="422"/>
      <c r="D89" s="422"/>
      <c r="E89" s="423"/>
      <c r="F89" s="424"/>
      <c r="G89" s="424"/>
      <c r="H89" s="425"/>
    </row>
    <row r="90" spans="1:8" ht="15">
      <c r="A90" s="13"/>
      <c r="B90" s="13"/>
      <c r="C90" s="18"/>
      <c r="D90" s="368"/>
      <c r="E90" s="416"/>
      <c r="F90" s="416"/>
      <c r="G90" s="18" t="s">
        <v>6</v>
      </c>
      <c r="H90" s="20"/>
    </row>
    <row r="92" spans="1:8" s="25" customFormat="1" ht="12.75" customHeight="1">
      <c r="B92" s="26" t="str">
        <f>'1,1'!B32</f>
        <v>Piezīmes:</v>
      </c>
      <c r="E92" s="415"/>
      <c r="F92" s="415"/>
    </row>
    <row r="93" spans="1:8" s="25" customFormat="1" ht="45" customHeight="1">
      <c r="A93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93" s="546"/>
      <c r="C93" s="546"/>
      <c r="D93" s="546"/>
      <c r="E93" s="546"/>
      <c r="F93" s="546"/>
      <c r="G93" s="546"/>
      <c r="H93" s="546"/>
    </row>
    <row r="94" spans="1:8" s="25" customFormat="1" ht="12.75" customHeight="1">
      <c r="A94" s="546">
        <f>'1,1'!$A$34</f>
        <v>0</v>
      </c>
      <c r="B94" s="546"/>
      <c r="C94" s="546"/>
      <c r="D94" s="546"/>
      <c r="E94" s="546"/>
      <c r="F94" s="546"/>
      <c r="G94" s="546"/>
      <c r="H94" s="546"/>
    </row>
    <row r="95" spans="1:8" s="25" customFormat="1" ht="12.75" customHeight="1">
      <c r="B95" s="27"/>
      <c r="E95" s="415"/>
      <c r="F95" s="415"/>
    </row>
    <row r="96" spans="1:8">
      <c r="B96" s="5" t="str">
        <f>'1,1'!B36</f>
        <v>Sastādīja:</v>
      </c>
    </row>
    <row r="97" spans="2:5" ht="14.25" customHeight="1">
      <c r="C97" s="33" t="str">
        <f>'1,1'!C37</f>
        <v>Arnis Gailītis</v>
      </c>
      <c r="D97" s="33"/>
    </row>
    <row r="98" spans="2:5">
      <c r="C98" s="34" t="str">
        <f>'1,1'!C38</f>
        <v>Sertifikāta Nr.20-5643</v>
      </c>
      <c r="D98" s="34"/>
      <c r="E98" s="419"/>
    </row>
    <row r="101" spans="2:5">
      <c r="B101" s="40" t="str">
        <f>'1,1'!B41</f>
        <v>Pārbaudīja:</v>
      </c>
      <c r="C101" s="3"/>
      <c r="D101" s="3"/>
    </row>
    <row r="102" spans="2:5">
      <c r="B102" s="2"/>
      <c r="C102" s="33" t="str">
        <f>'1,1'!C42</f>
        <v>Aivars Mauriņš</v>
      </c>
      <c r="D102" s="33"/>
    </row>
    <row r="103" spans="2:5">
      <c r="B103" s="1"/>
      <c r="C103" s="34" t="str">
        <f>'1,1'!C43</f>
        <v>Sertifikāta Nr.20-5957</v>
      </c>
      <c r="D103" s="34"/>
    </row>
  </sheetData>
  <mergeCells count="15">
    <mergeCell ref="C11:D12"/>
    <mergeCell ref="A94:H94"/>
    <mergeCell ref="A93:H93"/>
    <mergeCell ref="A1:C1"/>
    <mergeCell ref="A2:H2"/>
    <mergeCell ref="A7:H7"/>
    <mergeCell ref="A11:A12"/>
    <mergeCell ref="B11:B12"/>
    <mergeCell ref="E11:E12"/>
    <mergeCell ref="F11:F12"/>
    <mergeCell ref="G11:G12"/>
    <mergeCell ref="H11:H12"/>
    <mergeCell ref="C3:H3"/>
    <mergeCell ref="C4:H4"/>
    <mergeCell ref="C5:H5"/>
  </mergeCells>
  <conditionalFormatting sqref="E64:E65 E73:E76 E79:E87">
    <cfRule type="cellIs" dxfId="1" priority="1" stopIfTrue="1" operator="equal">
      <formula>0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10"/>
  <sheetViews>
    <sheetView showZeros="0" view="pageBreakPreview" topLeftCell="A67" zoomScale="80" zoomScaleNormal="100" zoomScaleSheetLayoutView="80" workbookViewId="0">
      <selection activeCell="H17" sqref="H17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3.4</v>
      </c>
      <c r="E1" s="36"/>
      <c r="F1" s="36"/>
      <c r="G1" s="36"/>
    </row>
    <row r="2" spans="1:7" s="9" customFormat="1" ht="15">
      <c r="A2" s="549" t="str">
        <f>C13</f>
        <v>Ārējā siltumtrase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118"/>
      <c r="B13" s="131">
        <v>0</v>
      </c>
      <c r="C13" s="93" t="s">
        <v>1342</v>
      </c>
      <c r="D13" s="143"/>
      <c r="E13" s="144"/>
      <c r="F13" s="23"/>
      <c r="G13" s="24"/>
    </row>
    <row r="14" spans="1:7" ht="25.5">
      <c r="A14" s="134"/>
      <c r="B14" s="135"/>
      <c r="C14" s="194" t="s">
        <v>125</v>
      </c>
      <c r="D14" s="162"/>
      <c r="E14" s="162"/>
      <c r="F14" s="21"/>
      <c r="G14" s="22"/>
    </row>
    <row r="15" spans="1:7">
      <c r="A15" s="147"/>
      <c r="B15" s="135"/>
      <c r="C15" s="207" t="s">
        <v>126</v>
      </c>
      <c r="D15" s="207"/>
      <c r="E15" s="207"/>
      <c r="F15" s="21"/>
      <c r="G15" s="22"/>
    </row>
    <row r="16" spans="1:7">
      <c r="A16" s="147">
        <v>1</v>
      </c>
      <c r="B16" s="109" t="s">
        <v>673</v>
      </c>
      <c r="C16" s="211" t="s">
        <v>127</v>
      </c>
      <c r="D16" s="235" t="s">
        <v>33</v>
      </c>
      <c r="E16" s="235">
        <v>86.13</v>
      </c>
      <c r="F16" s="21"/>
      <c r="G16" s="22"/>
    </row>
    <row r="17" spans="1:7">
      <c r="A17" s="147">
        <v>2</v>
      </c>
      <c r="B17" s="109" t="s">
        <v>673</v>
      </c>
      <c r="C17" s="211" t="s">
        <v>128</v>
      </c>
      <c r="D17" s="217" t="s">
        <v>33</v>
      </c>
      <c r="E17" s="210">
        <v>154</v>
      </c>
      <c r="F17" s="21"/>
      <c r="G17" s="22"/>
    </row>
    <row r="18" spans="1:7">
      <c r="A18" s="147">
        <v>3</v>
      </c>
      <c r="B18" s="109" t="s">
        <v>673</v>
      </c>
      <c r="C18" s="211" t="s">
        <v>129</v>
      </c>
      <c r="D18" s="217" t="s">
        <v>130</v>
      </c>
      <c r="E18" s="210">
        <v>2</v>
      </c>
      <c r="F18" s="21"/>
      <c r="G18" s="22"/>
    </row>
    <row r="19" spans="1:7" ht="24">
      <c r="A19" s="147">
        <v>4</v>
      </c>
      <c r="B19" s="109" t="s">
        <v>673</v>
      </c>
      <c r="C19" s="211" t="s">
        <v>131</v>
      </c>
      <c r="D19" s="217" t="s">
        <v>130</v>
      </c>
      <c r="E19" s="210">
        <v>2</v>
      </c>
      <c r="F19" s="21"/>
      <c r="G19" s="22"/>
    </row>
    <row r="20" spans="1:7" ht="48">
      <c r="A20" s="147">
        <v>5</v>
      </c>
      <c r="B20" s="109" t="s">
        <v>673</v>
      </c>
      <c r="C20" s="211" t="s">
        <v>132</v>
      </c>
      <c r="D20" s="217" t="s">
        <v>36</v>
      </c>
      <c r="E20" s="210">
        <v>1</v>
      </c>
      <c r="F20" s="21"/>
      <c r="G20" s="22"/>
    </row>
    <row r="21" spans="1:7" ht="24">
      <c r="A21" s="147">
        <v>6</v>
      </c>
      <c r="B21" s="109" t="s">
        <v>673</v>
      </c>
      <c r="C21" s="211" t="s">
        <v>133</v>
      </c>
      <c r="D21" s="217" t="s">
        <v>130</v>
      </c>
      <c r="E21" s="210">
        <v>2</v>
      </c>
      <c r="F21" s="21"/>
      <c r="G21" s="22"/>
    </row>
    <row r="22" spans="1:7" ht="24">
      <c r="A22" s="147">
        <v>7</v>
      </c>
      <c r="B22" s="109" t="s">
        <v>673</v>
      </c>
      <c r="C22" s="211" t="s">
        <v>134</v>
      </c>
      <c r="D22" s="217" t="s">
        <v>130</v>
      </c>
      <c r="E22" s="210">
        <v>2</v>
      </c>
      <c r="F22" s="21"/>
      <c r="G22" s="22"/>
    </row>
    <row r="23" spans="1:7" ht="24">
      <c r="A23" s="147">
        <v>8</v>
      </c>
      <c r="B23" s="109" t="s">
        <v>673</v>
      </c>
      <c r="C23" s="211" t="s">
        <v>135</v>
      </c>
      <c r="D23" s="217" t="s">
        <v>130</v>
      </c>
      <c r="E23" s="210">
        <v>2</v>
      </c>
      <c r="F23" s="21"/>
      <c r="G23" s="22"/>
    </row>
    <row r="24" spans="1:7">
      <c r="A24" s="147">
        <v>9</v>
      </c>
      <c r="B24" s="109" t="s">
        <v>673</v>
      </c>
      <c r="C24" s="211" t="s">
        <v>136</v>
      </c>
      <c r="D24" s="217" t="s">
        <v>130</v>
      </c>
      <c r="E24" s="210">
        <v>4</v>
      </c>
      <c r="F24" s="21"/>
      <c r="G24" s="22"/>
    </row>
    <row r="25" spans="1:7" ht="48">
      <c r="A25" s="147">
        <v>10</v>
      </c>
      <c r="B25" s="109" t="s">
        <v>673</v>
      </c>
      <c r="C25" s="211" t="s">
        <v>137</v>
      </c>
      <c r="D25" s="217" t="s">
        <v>130</v>
      </c>
      <c r="E25" s="214">
        <v>26</v>
      </c>
      <c r="F25" s="21"/>
      <c r="G25" s="22"/>
    </row>
    <row r="26" spans="1:7" ht="48">
      <c r="A26" s="147">
        <v>11</v>
      </c>
      <c r="B26" s="109" t="s">
        <v>673</v>
      </c>
      <c r="C26" s="211" t="s">
        <v>138</v>
      </c>
      <c r="D26" s="217" t="s">
        <v>130</v>
      </c>
      <c r="E26" s="214">
        <v>16</v>
      </c>
      <c r="F26" s="21"/>
      <c r="G26" s="22"/>
    </row>
    <row r="27" spans="1:7" ht="24">
      <c r="A27" s="147">
        <v>12</v>
      </c>
      <c r="B27" s="109" t="s">
        <v>673</v>
      </c>
      <c r="C27" s="211" t="s">
        <v>139</v>
      </c>
      <c r="D27" s="217" t="s">
        <v>130</v>
      </c>
      <c r="E27" s="210">
        <v>4</v>
      </c>
      <c r="F27" s="21"/>
      <c r="G27" s="22"/>
    </row>
    <row r="28" spans="1:7" ht="24">
      <c r="A28" s="147">
        <v>13</v>
      </c>
      <c r="B28" s="109" t="s">
        <v>673</v>
      </c>
      <c r="C28" s="211" t="s">
        <v>140</v>
      </c>
      <c r="D28" s="217" t="s">
        <v>130</v>
      </c>
      <c r="E28" s="210">
        <v>2</v>
      </c>
      <c r="F28" s="21"/>
      <c r="G28" s="22"/>
    </row>
    <row r="29" spans="1:7" ht="24">
      <c r="A29" s="147">
        <v>14</v>
      </c>
      <c r="B29" s="109" t="s">
        <v>673</v>
      </c>
      <c r="C29" s="211" t="s">
        <v>141</v>
      </c>
      <c r="D29" s="217" t="s">
        <v>130</v>
      </c>
      <c r="E29" s="210">
        <v>2</v>
      </c>
      <c r="F29" s="21"/>
      <c r="G29" s="22"/>
    </row>
    <row r="30" spans="1:7" ht="24">
      <c r="A30" s="147">
        <v>15</v>
      </c>
      <c r="B30" s="109" t="s">
        <v>673</v>
      </c>
      <c r="C30" s="211" t="s">
        <v>142</v>
      </c>
      <c r="D30" s="217" t="s">
        <v>130</v>
      </c>
      <c r="E30" s="210">
        <v>2</v>
      </c>
      <c r="F30" s="21"/>
      <c r="G30" s="22"/>
    </row>
    <row r="31" spans="1:7" ht="24">
      <c r="A31" s="147">
        <v>16</v>
      </c>
      <c r="B31" s="109" t="s">
        <v>673</v>
      </c>
      <c r="C31" s="211" t="s">
        <v>143</v>
      </c>
      <c r="D31" s="217" t="s">
        <v>130</v>
      </c>
      <c r="E31" s="210">
        <v>2</v>
      </c>
      <c r="F31" s="21"/>
      <c r="G31" s="22"/>
    </row>
    <row r="32" spans="1:7" ht="24">
      <c r="A32" s="147">
        <v>17</v>
      </c>
      <c r="B32" s="109" t="s">
        <v>673</v>
      </c>
      <c r="C32" s="211" t="s">
        <v>144</v>
      </c>
      <c r="D32" s="217" t="s">
        <v>130</v>
      </c>
      <c r="E32" s="210">
        <v>2</v>
      </c>
      <c r="F32" s="21"/>
      <c r="G32" s="22"/>
    </row>
    <row r="33" spans="1:7">
      <c r="A33" s="147">
        <v>18</v>
      </c>
      <c r="B33" s="109" t="s">
        <v>673</v>
      </c>
      <c r="C33" s="211" t="s">
        <v>145</v>
      </c>
      <c r="D33" s="217" t="s">
        <v>130</v>
      </c>
      <c r="E33" s="210">
        <v>8</v>
      </c>
      <c r="F33" s="21"/>
      <c r="G33" s="22"/>
    </row>
    <row r="34" spans="1:7">
      <c r="A34" s="147">
        <v>19</v>
      </c>
      <c r="B34" s="109" t="s">
        <v>673</v>
      </c>
      <c r="C34" s="211" t="s">
        <v>146</v>
      </c>
      <c r="D34" s="217" t="s">
        <v>130</v>
      </c>
      <c r="E34" s="217">
        <v>6</v>
      </c>
      <c r="F34" s="21"/>
      <c r="G34" s="22"/>
    </row>
    <row r="35" spans="1:7">
      <c r="A35" s="147">
        <v>20</v>
      </c>
      <c r="B35" s="109" t="s">
        <v>673</v>
      </c>
      <c r="C35" s="211" t="s">
        <v>147</v>
      </c>
      <c r="D35" s="217" t="s">
        <v>130</v>
      </c>
      <c r="E35" s="217">
        <v>2</v>
      </c>
      <c r="F35" s="21"/>
      <c r="G35" s="22"/>
    </row>
    <row r="36" spans="1:7">
      <c r="A36" s="147">
        <v>21</v>
      </c>
      <c r="B36" s="109" t="s">
        <v>673</v>
      </c>
      <c r="C36" s="211" t="s">
        <v>148</v>
      </c>
      <c r="D36" s="217" t="s">
        <v>130</v>
      </c>
      <c r="E36" s="217">
        <v>2</v>
      </c>
      <c r="F36" s="21"/>
      <c r="G36" s="22"/>
    </row>
    <row r="37" spans="1:7">
      <c r="A37" s="147">
        <v>22</v>
      </c>
      <c r="B37" s="109" t="s">
        <v>673</v>
      </c>
      <c r="C37" s="211" t="s">
        <v>1173</v>
      </c>
      <c r="D37" s="217" t="s">
        <v>65</v>
      </c>
      <c r="E37" s="210">
        <v>4</v>
      </c>
      <c r="F37" s="21"/>
      <c r="G37" s="22"/>
    </row>
    <row r="38" spans="1:7">
      <c r="A38" s="147">
        <v>23</v>
      </c>
      <c r="B38" s="109" t="s">
        <v>673</v>
      </c>
      <c r="C38" s="211" t="s">
        <v>1174</v>
      </c>
      <c r="D38" s="217" t="s">
        <v>54</v>
      </c>
      <c r="E38" s="217">
        <v>0.4</v>
      </c>
      <c r="F38" s="21"/>
      <c r="G38" s="22"/>
    </row>
    <row r="39" spans="1:7">
      <c r="A39" s="147">
        <v>24</v>
      </c>
      <c r="B39" s="109" t="s">
        <v>673</v>
      </c>
      <c r="C39" s="211" t="s">
        <v>149</v>
      </c>
      <c r="D39" s="217" t="s">
        <v>36</v>
      </c>
      <c r="E39" s="217">
        <v>2</v>
      </c>
      <c r="F39" s="21"/>
      <c r="G39" s="22"/>
    </row>
    <row r="40" spans="1:7">
      <c r="A40" s="147">
        <v>25</v>
      </c>
      <c r="B40" s="109" t="s">
        <v>673</v>
      </c>
      <c r="C40" s="211" t="s">
        <v>150</v>
      </c>
      <c r="D40" s="217" t="s">
        <v>36</v>
      </c>
      <c r="E40" s="217">
        <v>1</v>
      </c>
      <c r="F40" s="21"/>
      <c r="G40" s="22"/>
    </row>
    <row r="41" spans="1:7">
      <c r="A41" s="147">
        <v>26</v>
      </c>
      <c r="B41" s="109" t="s">
        <v>673</v>
      </c>
      <c r="C41" s="211" t="s">
        <v>151</v>
      </c>
      <c r="D41" s="217" t="s">
        <v>36</v>
      </c>
      <c r="E41" s="217">
        <v>1</v>
      </c>
      <c r="F41" s="21"/>
      <c r="G41" s="22"/>
    </row>
    <row r="42" spans="1:7">
      <c r="A42" s="147">
        <v>27</v>
      </c>
      <c r="B42" s="109" t="s">
        <v>673</v>
      </c>
      <c r="C42" s="211" t="s">
        <v>152</v>
      </c>
      <c r="D42" s="217" t="s">
        <v>33</v>
      </c>
      <c r="E42" s="217">
        <f>2*E81</f>
        <v>4</v>
      </c>
      <c r="F42" s="21"/>
      <c r="G42" s="22"/>
    </row>
    <row r="43" spans="1:7" ht="24">
      <c r="A43" s="147">
        <v>28</v>
      </c>
      <c r="B43" s="109" t="s">
        <v>673</v>
      </c>
      <c r="C43" s="211" t="s">
        <v>153</v>
      </c>
      <c r="D43" s="217" t="s">
        <v>40</v>
      </c>
      <c r="E43" s="217">
        <v>1</v>
      </c>
      <c r="F43" s="21"/>
      <c r="G43" s="22"/>
    </row>
    <row r="44" spans="1:7" ht="24">
      <c r="A44" s="147">
        <v>29</v>
      </c>
      <c r="B44" s="109" t="s">
        <v>673</v>
      </c>
      <c r="C44" s="211" t="s">
        <v>154</v>
      </c>
      <c r="D44" s="217" t="s">
        <v>40</v>
      </c>
      <c r="E44" s="217">
        <v>2</v>
      </c>
      <c r="F44" s="21"/>
      <c r="G44" s="22"/>
    </row>
    <row r="45" spans="1:7" ht="24">
      <c r="A45" s="147">
        <v>30</v>
      </c>
      <c r="B45" s="109" t="s">
        <v>673</v>
      </c>
      <c r="C45" s="211" t="s">
        <v>155</v>
      </c>
      <c r="D45" s="217" t="s">
        <v>40</v>
      </c>
      <c r="E45" s="217">
        <v>2</v>
      </c>
      <c r="F45" s="21"/>
      <c r="G45" s="22"/>
    </row>
    <row r="46" spans="1:7" ht="24">
      <c r="A46" s="147">
        <v>31</v>
      </c>
      <c r="B46" s="109" t="s">
        <v>673</v>
      </c>
      <c r="C46" s="211" t="s">
        <v>155</v>
      </c>
      <c r="D46" s="217" t="s">
        <v>40</v>
      </c>
      <c r="E46" s="217">
        <v>2</v>
      </c>
      <c r="F46" s="21"/>
      <c r="G46" s="22"/>
    </row>
    <row r="47" spans="1:7" ht="24">
      <c r="A47" s="147">
        <v>32</v>
      </c>
      <c r="B47" s="109" t="s">
        <v>673</v>
      </c>
      <c r="C47" s="211" t="s">
        <v>155</v>
      </c>
      <c r="D47" s="217" t="s">
        <v>40</v>
      </c>
      <c r="E47" s="217">
        <v>2</v>
      </c>
      <c r="F47" s="21"/>
      <c r="G47" s="22"/>
    </row>
    <row r="48" spans="1:7" ht="24">
      <c r="A48" s="147">
        <v>33</v>
      </c>
      <c r="B48" s="109" t="s">
        <v>673</v>
      </c>
      <c r="C48" s="211" t="s">
        <v>156</v>
      </c>
      <c r="D48" s="217" t="s">
        <v>40</v>
      </c>
      <c r="E48" s="217">
        <v>1</v>
      </c>
      <c r="F48" s="21"/>
      <c r="G48" s="22"/>
    </row>
    <row r="49" spans="1:7" ht="24">
      <c r="A49" s="147">
        <v>34</v>
      </c>
      <c r="B49" s="109" t="s">
        <v>673</v>
      </c>
      <c r="C49" s="211" t="s">
        <v>157</v>
      </c>
      <c r="D49" s="217" t="s">
        <v>40</v>
      </c>
      <c r="E49" s="217">
        <v>1</v>
      </c>
      <c r="F49" s="21"/>
      <c r="G49" s="22"/>
    </row>
    <row r="50" spans="1:7" ht="24">
      <c r="A50" s="147">
        <v>35</v>
      </c>
      <c r="B50" s="109" t="s">
        <v>673</v>
      </c>
      <c r="C50" s="211" t="s">
        <v>158</v>
      </c>
      <c r="D50" s="217" t="s">
        <v>40</v>
      </c>
      <c r="E50" s="217">
        <v>1</v>
      </c>
      <c r="F50" s="21"/>
      <c r="G50" s="22"/>
    </row>
    <row r="51" spans="1:7" ht="24">
      <c r="A51" s="147">
        <v>36</v>
      </c>
      <c r="B51" s="109" t="s">
        <v>673</v>
      </c>
      <c r="C51" s="211" t="s">
        <v>159</v>
      </c>
      <c r="D51" s="217" t="s">
        <v>40</v>
      </c>
      <c r="E51" s="217">
        <v>1</v>
      </c>
      <c r="F51" s="21"/>
      <c r="G51" s="22"/>
    </row>
    <row r="52" spans="1:7" ht="24">
      <c r="A52" s="147">
        <v>37</v>
      </c>
      <c r="B52" s="109" t="s">
        <v>673</v>
      </c>
      <c r="C52" s="211" t="s">
        <v>160</v>
      </c>
      <c r="D52" s="217" t="s">
        <v>40</v>
      </c>
      <c r="E52" s="217">
        <v>1</v>
      </c>
      <c r="F52" s="21"/>
      <c r="G52" s="22"/>
    </row>
    <row r="53" spans="1:7" ht="24">
      <c r="A53" s="147">
        <v>38</v>
      </c>
      <c r="B53" s="109" t="str">
        <f>IF(A53&gt;0,"L.c.",0)</f>
        <v>L.c.</v>
      </c>
      <c r="C53" s="211" t="s">
        <v>161</v>
      </c>
      <c r="D53" s="217" t="s">
        <v>40</v>
      </c>
      <c r="E53" s="217">
        <v>1</v>
      </c>
      <c r="F53" s="21"/>
      <c r="G53" s="22"/>
    </row>
    <row r="54" spans="1:7" ht="24">
      <c r="A54" s="147">
        <v>39</v>
      </c>
      <c r="B54" s="109" t="s">
        <v>673</v>
      </c>
      <c r="C54" s="211" t="s">
        <v>162</v>
      </c>
      <c r="D54" s="217" t="s">
        <v>40</v>
      </c>
      <c r="E54" s="217">
        <v>3</v>
      </c>
      <c r="F54" s="21"/>
      <c r="G54" s="22"/>
    </row>
    <row r="55" spans="1:7" ht="24">
      <c r="A55" s="147">
        <v>40</v>
      </c>
      <c r="B55" s="109" t="s">
        <v>673</v>
      </c>
      <c r="C55" s="211" t="s">
        <v>163</v>
      </c>
      <c r="D55" s="217" t="s">
        <v>40</v>
      </c>
      <c r="E55" s="217">
        <v>2</v>
      </c>
      <c r="F55" s="21"/>
      <c r="G55" s="22"/>
    </row>
    <row r="56" spans="1:7">
      <c r="A56" s="147">
        <v>41</v>
      </c>
      <c r="B56" s="109" t="s">
        <v>673</v>
      </c>
      <c r="C56" s="211" t="s">
        <v>164</v>
      </c>
      <c r="D56" s="217" t="s">
        <v>33</v>
      </c>
      <c r="E56" s="210">
        <f>(E17+E16)/2</f>
        <v>120.065</v>
      </c>
      <c r="F56" s="21"/>
      <c r="G56" s="22"/>
    </row>
    <row r="57" spans="1:7">
      <c r="A57" s="147">
        <v>42</v>
      </c>
      <c r="B57" s="109" t="s">
        <v>673</v>
      </c>
      <c r="C57" s="211" t="s">
        <v>165</v>
      </c>
      <c r="D57" s="217" t="s">
        <v>107</v>
      </c>
      <c r="E57" s="210">
        <v>2</v>
      </c>
      <c r="F57" s="21"/>
      <c r="G57" s="22"/>
    </row>
    <row r="58" spans="1:7">
      <c r="A58" s="147">
        <v>43</v>
      </c>
      <c r="B58" s="109" t="s">
        <v>673</v>
      </c>
      <c r="C58" s="211" t="s">
        <v>166</v>
      </c>
      <c r="D58" s="217" t="s">
        <v>54</v>
      </c>
      <c r="E58" s="210">
        <v>36</v>
      </c>
      <c r="F58" s="21"/>
      <c r="G58" s="22"/>
    </row>
    <row r="59" spans="1:7" ht="36">
      <c r="A59" s="147">
        <v>44</v>
      </c>
      <c r="B59" s="109" t="s">
        <v>673</v>
      </c>
      <c r="C59" s="211" t="s">
        <v>45</v>
      </c>
      <c r="D59" s="217" t="s">
        <v>36</v>
      </c>
      <c r="E59" s="210">
        <v>1</v>
      </c>
      <c r="F59" s="21"/>
      <c r="G59" s="22"/>
    </row>
    <row r="60" spans="1:7" ht="24">
      <c r="A60" s="147">
        <v>45</v>
      </c>
      <c r="B60" s="109" t="s">
        <v>673</v>
      </c>
      <c r="C60" s="211" t="s">
        <v>46</v>
      </c>
      <c r="D60" s="217" t="s">
        <v>36</v>
      </c>
      <c r="E60" s="210">
        <v>1</v>
      </c>
      <c r="F60" s="21"/>
      <c r="G60" s="22"/>
    </row>
    <row r="61" spans="1:7">
      <c r="A61" s="147">
        <v>46</v>
      </c>
      <c r="B61" s="109" t="s">
        <v>673</v>
      </c>
      <c r="C61" s="123" t="s">
        <v>750</v>
      </c>
      <c r="D61" s="236" t="s">
        <v>36</v>
      </c>
      <c r="E61" s="214">
        <v>1</v>
      </c>
      <c r="F61" s="21"/>
      <c r="G61" s="22"/>
    </row>
    <row r="62" spans="1:7">
      <c r="A62" s="147">
        <v>47</v>
      </c>
      <c r="B62" s="109" t="s">
        <v>673</v>
      </c>
      <c r="C62" s="215" t="s">
        <v>50</v>
      </c>
      <c r="D62" s="135" t="s">
        <v>33</v>
      </c>
      <c r="E62" s="135">
        <v>120</v>
      </c>
      <c r="F62" s="21"/>
      <c r="G62" s="22"/>
    </row>
    <row r="63" spans="1:7">
      <c r="A63" s="147"/>
      <c r="B63" s="109">
        <v>0</v>
      </c>
      <c r="C63" s="215"/>
      <c r="D63" s="165"/>
      <c r="E63" s="233"/>
      <c r="F63" s="21"/>
      <c r="G63" s="22"/>
    </row>
    <row r="64" spans="1:7">
      <c r="A64" s="147"/>
      <c r="B64" s="109">
        <v>0</v>
      </c>
      <c r="C64" s="237" t="s">
        <v>167</v>
      </c>
      <c r="D64" s="237"/>
      <c r="E64" s="237"/>
      <c r="F64" s="21"/>
      <c r="G64" s="22"/>
    </row>
    <row r="65" spans="1:7">
      <c r="A65" s="147">
        <v>1</v>
      </c>
      <c r="B65" s="109" t="s">
        <v>673</v>
      </c>
      <c r="C65" s="211" t="s">
        <v>168</v>
      </c>
      <c r="D65" s="217" t="s">
        <v>54</v>
      </c>
      <c r="E65" s="233">
        <v>289</v>
      </c>
      <c r="F65" s="21"/>
      <c r="G65" s="22"/>
    </row>
    <row r="66" spans="1:7">
      <c r="A66" s="147">
        <v>2</v>
      </c>
      <c r="B66" s="109" t="s">
        <v>673</v>
      </c>
      <c r="C66" s="211" t="s">
        <v>55</v>
      </c>
      <c r="D66" s="217" t="s">
        <v>54</v>
      </c>
      <c r="E66" s="233">
        <v>29</v>
      </c>
      <c r="F66" s="21"/>
      <c r="G66" s="22"/>
    </row>
    <row r="67" spans="1:7">
      <c r="A67" s="147">
        <v>3</v>
      </c>
      <c r="B67" s="109" t="s">
        <v>673</v>
      </c>
      <c r="C67" s="211" t="s">
        <v>64</v>
      </c>
      <c r="D67" s="217" t="s">
        <v>65</v>
      </c>
      <c r="E67" s="233">
        <v>136</v>
      </c>
      <c r="F67" s="21"/>
      <c r="G67" s="22"/>
    </row>
    <row r="68" spans="1:7">
      <c r="A68" s="147">
        <v>4</v>
      </c>
      <c r="B68" s="109" t="s">
        <v>673</v>
      </c>
      <c r="C68" s="211" t="s">
        <v>169</v>
      </c>
      <c r="D68" s="217" t="s">
        <v>65</v>
      </c>
      <c r="E68" s="233">
        <v>14</v>
      </c>
      <c r="F68" s="21"/>
      <c r="G68" s="22"/>
    </row>
    <row r="69" spans="1:7">
      <c r="A69" s="147"/>
      <c r="B69" s="109">
        <v>0</v>
      </c>
      <c r="C69" s="238" t="s">
        <v>170</v>
      </c>
      <c r="D69" s="217"/>
      <c r="E69" s="233"/>
      <c r="F69" s="21"/>
      <c r="G69" s="22"/>
    </row>
    <row r="70" spans="1:7" ht="36">
      <c r="A70" s="147">
        <v>5</v>
      </c>
      <c r="B70" s="109" t="s">
        <v>673</v>
      </c>
      <c r="C70" s="211" t="s">
        <v>171</v>
      </c>
      <c r="D70" s="217" t="s">
        <v>54</v>
      </c>
      <c r="E70" s="233">
        <v>36</v>
      </c>
      <c r="F70" s="21"/>
      <c r="G70" s="22"/>
    </row>
    <row r="71" spans="1:7" ht="24">
      <c r="A71" s="147">
        <v>6</v>
      </c>
      <c r="B71" s="109" t="s">
        <v>673</v>
      </c>
      <c r="C71" s="211" t="s">
        <v>172</v>
      </c>
      <c r="D71" s="217" t="s">
        <v>54</v>
      </c>
      <c r="E71" s="233">
        <v>111</v>
      </c>
      <c r="F71" s="21"/>
      <c r="G71" s="22"/>
    </row>
    <row r="72" spans="1:7" ht="24">
      <c r="A72" s="147">
        <v>7</v>
      </c>
      <c r="B72" s="109" t="s">
        <v>673</v>
      </c>
      <c r="C72" s="211" t="s">
        <v>173</v>
      </c>
      <c r="D72" s="217" t="s">
        <v>54</v>
      </c>
      <c r="E72" s="233">
        <v>171</v>
      </c>
      <c r="F72" s="21"/>
      <c r="G72" s="22"/>
    </row>
    <row r="73" spans="1:7">
      <c r="A73" s="147">
        <v>8</v>
      </c>
      <c r="B73" s="109" t="s">
        <v>673</v>
      </c>
      <c r="C73" s="211" t="s">
        <v>174</v>
      </c>
      <c r="D73" s="217" t="s">
        <v>54</v>
      </c>
      <c r="E73" s="233">
        <v>118</v>
      </c>
      <c r="F73" s="21"/>
      <c r="G73" s="22"/>
    </row>
    <row r="74" spans="1:7">
      <c r="A74" s="147"/>
      <c r="B74" s="109">
        <v>0</v>
      </c>
      <c r="C74" s="215"/>
      <c r="D74" s="165"/>
      <c r="E74" s="233"/>
      <c r="F74" s="21"/>
      <c r="G74" s="22"/>
    </row>
    <row r="75" spans="1:7">
      <c r="A75" s="147"/>
      <c r="B75" s="109">
        <v>0</v>
      </c>
      <c r="C75" s="239" t="s">
        <v>175</v>
      </c>
      <c r="D75" s="239"/>
      <c r="E75" s="239"/>
      <c r="F75" s="21"/>
      <c r="G75" s="22"/>
    </row>
    <row r="76" spans="1:7" ht="24">
      <c r="A76" s="147">
        <v>1</v>
      </c>
      <c r="B76" s="109" t="s">
        <v>673</v>
      </c>
      <c r="C76" s="211" t="s">
        <v>176</v>
      </c>
      <c r="D76" s="217" t="s">
        <v>33</v>
      </c>
      <c r="E76" s="233">
        <v>120</v>
      </c>
      <c r="F76" s="21"/>
      <c r="G76" s="22"/>
    </row>
    <row r="77" spans="1:7">
      <c r="A77" s="147">
        <v>2</v>
      </c>
      <c r="B77" s="109" t="s">
        <v>673</v>
      </c>
      <c r="C77" s="211" t="s">
        <v>177</v>
      </c>
      <c r="D77" s="217" t="s">
        <v>40</v>
      </c>
      <c r="E77" s="233">
        <v>3</v>
      </c>
      <c r="F77" s="21"/>
      <c r="G77" s="22"/>
    </row>
    <row r="78" spans="1:7">
      <c r="A78" s="147">
        <v>3</v>
      </c>
      <c r="B78" s="109" t="s">
        <v>673</v>
      </c>
      <c r="C78" s="211" t="s">
        <v>178</v>
      </c>
      <c r="D78" s="217" t="s">
        <v>40</v>
      </c>
      <c r="E78" s="233">
        <v>8</v>
      </c>
      <c r="F78" s="21"/>
      <c r="G78" s="22"/>
    </row>
    <row r="79" spans="1:7">
      <c r="A79" s="147">
        <v>4</v>
      </c>
      <c r="B79" s="109" t="s">
        <v>673</v>
      </c>
      <c r="C79" s="211" t="s">
        <v>164</v>
      </c>
      <c r="D79" s="217" t="s">
        <v>33</v>
      </c>
      <c r="E79" s="233">
        <v>120</v>
      </c>
      <c r="F79" s="21"/>
      <c r="G79" s="22"/>
    </row>
    <row r="80" spans="1:7">
      <c r="A80" s="147">
        <v>5</v>
      </c>
      <c r="B80" s="109" t="s">
        <v>673</v>
      </c>
      <c r="C80" s="211" t="s">
        <v>179</v>
      </c>
      <c r="D80" s="217" t="s">
        <v>40</v>
      </c>
      <c r="E80" s="233">
        <v>4</v>
      </c>
      <c r="F80" s="21"/>
      <c r="G80" s="22"/>
    </row>
    <row r="81" spans="1:7">
      <c r="A81" s="147">
        <v>6</v>
      </c>
      <c r="B81" s="109" t="s">
        <v>673</v>
      </c>
      <c r="C81" s="211" t="s">
        <v>180</v>
      </c>
      <c r="D81" s="217" t="s">
        <v>40</v>
      </c>
      <c r="E81" s="233">
        <v>2</v>
      </c>
      <c r="F81" s="21"/>
      <c r="G81" s="22"/>
    </row>
    <row r="82" spans="1:7">
      <c r="A82" s="147">
        <v>7</v>
      </c>
      <c r="B82" s="109" t="s">
        <v>673</v>
      </c>
      <c r="C82" s="211" t="s">
        <v>181</v>
      </c>
      <c r="D82" s="217" t="s">
        <v>40</v>
      </c>
      <c r="E82" s="233">
        <v>1</v>
      </c>
      <c r="F82" s="21"/>
      <c r="G82" s="22"/>
    </row>
    <row r="83" spans="1:7">
      <c r="A83" s="147">
        <v>8</v>
      </c>
      <c r="B83" s="109" t="s">
        <v>673</v>
      </c>
      <c r="C83" s="211" t="s">
        <v>182</v>
      </c>
      <c r="D83" s="217" t="s">
        <v>40</v>
      </c>
      <c r="E83" s="233">
        <v>2</v>
      </c>
      <c r="F83" s="21"/>
      <c r="G83" s="22"/>
    </row>
    <row r="84" spans="1:7">
      <c r="A84" s="147">
        <v>9</v>
      </c>
      <c r="B84" s="109" t="s">
        <v>673</v>
      </c>
      <c r="C84" s="122" t="s">
        <v>1175</v>
      </c>
      <c r="D84" s="217" t="s">
        <v>33</v>
      </c>
      <c r="E84" s="233">
        <v>120</v>
      </c>
      <c r="F84" s="21"/>
      <c r="G84" s="22"/>
    </row>
    <row r="85" spans="1:7" ht="36">
      <c r="A85" s="147">
        <v>10</v>
      </c>
      <c r="B85" s="109" t="s">
        <v>673</v>
      </c>
      <c r="C85" s="211" t="s">
        <v>183</v>
      </c>
      <c r="D85" s="217" t="s">
        <v>40</v>
      </c>
      <c r="E85" s="233">
        <v>1</v>
      </c>
      <c r="F85" s="21"/>
      <c r="G85" s="22"/>
    </row>
    <row r="86" spans="1:7">
      <c r="A86" s="147"/>
      <c r="B86" s="109">
        <v>0</v>
      </c>
      <c r="C86" s="215"/>
      <c r="D86" s="165"/>
      <c r="E86" s="233"/>
      <c r="F86" s="21"/>
      <c r="G86" s="22"/>
    </row>
    <row r="87" spans="1:7">
      <c r="A87" s="147"/>
      <c r="B87" s="109">
        <v>0</v>
      </c>
      <c r="C87" s="237" t="s">
        <v>184</v>
      </c>
      <c r="D87" s="237"/>
      <c r="E87" s="237"/>
      <c r="F87" s="21"/>
      <c r="G87" s="22"/>
    </row>
    <row r="88" spans="1:7" ht="24">
      <c r="A88" s="147">
        <v>1</v>
      </c>
      <c r="B88" s="109" t="s">
        <v>673</v>
      </c>
      <c r="C88" s="211" t="s">
        <v>185</v>
      </c>
      <c r="D88" s="217" t="s">
        <v>33</v>
      </c>
      <c r="E88" s="210">
        <v>96</v>
      </c>
      <c r="F88" s="21"/>
      <c r="G88" s="22"/>
    </row>
    <row r="89" spans="1:7" ht="24">
      <c r="A89" s="147">
        <v>2</v>
      </c>
      <c r="B89" s="109" t="s">
        <v>673</v>
      </c>
      <c r="C89" s="211" t="s">
        <v>186</v>
      </c>
      <c r="D89" s="217" t="s">
        <v>33</v>
      </c>
      <c r="E89" s="210">
        <v>83</v>
      </c>
      <c r="F89" s="21"/>
      <c r="G89" s="22"/>
    </row>
    <row r="90" spans="1:7" ht="24">
      <c r="A90" s="147">
        <v>3</v>
      </c>
      <c r="B90" s="109" t="s">
        <v>673</v>
      </c>
      <c r="C90" s="211" t="s">
        <v>187</v>
      </c>
      <c r="D90" s="217" t="s">
        <v>33</v>
      </c>
      <c r="E90" s="210">
        <v>55</v>
      </c>
      <c r="F90" s="21"/>
      <c r="G90" s="22"/>
    </row>
    <row r="91" spans="1:7" ht="24">
      <c r="A91" s="147">
        <v>4</v>
      </c>
      <c r="B91" s="109" t="s">
        <v>673</v>
      </c>
      <c r="C91" s="211" t="s">
        <v>188</v>
      </c>
      <c r="D91" s="217" t="s">
        <v>33</v>
      </c>
      <c r="E91" s="210">
        <v>106</v>
      </c>
      <c r="F91" s="21"/>
      <c r="G91" s="22"/>
    </row>
    <row r="92" spans="1:7">
      <c r="A92" s="147">
        <v>5</v>
      </c>
      <c r="B92" s="109" t="s">
        <v>673</v>
      </c>
      <c r="C92" s="211" t="s">
        <v>189</v>
      </c>
      <c r="D92" s="217" t="s">
        <v>130</v>
      </c>
      <c r="E92" s="210">
        <v>2</v>
      </c>
      <c r="F92" s="21"/>
      <c r="G92" s="22"/>
    </row>
    <row r="93" spans="1:7">
      <c r="A93" s="147">
        <v>6</v>
      </c>
      <c r="B93" s="109" t="s">
        <v>673</v>
      </c>
      <c r="C93" s="208" t="s">
        <v>96</v>
      </c>
      <c r="D93" s="217" t="s">
        <v>65</v>
      </c>
      <c r="E93" s="210">
        <v>25</v>
      </c>
      <c r="F93" s="21"/>
      <c r="G93" s="22"/>
    </row>
    <row r="94" spans="1:7">
      <c r="A94" s="240">
        <v>7</v>
      </c>
      <c r="B94" s="241" t="s">
        <v>673</v>
      </c>
      <c r="C94" s="242" t="s">
        <v>64</v>
      </c>
      <c r="D94" s="243" t="s">
        <v>65</v>
      </c>
      <c r="E94" s="244">
        <v>166</v>
      </c>
      <c r="F94" s="52"/>
      <c r="G94" s="53"/>
    </row>
    <row r="95" spans="1:7">
      <c r="A95" s="71"/>
      <c r="B95" s="72"/>
      <c r="C95" s="73"/>
      <c r="D95" s="74"/>
      <c r="E95" s="75"/>
      <c r="F95" s="52"/>
      <c r="G95" s="53"/>
    </row>
    <row r="96" spans="1:7" s="17" customFormat="1">
      <c r="A96" s="28"/>
      <c r="B96" s="29"/>
      <c r="C96" s="30"/>
      <c r="D96" s="31"/>
      <c r="E96" s="12"/>
      <c r="F96" s="12"/>
      <c r="G96" s="32"/>
    </row>
    <row r="97" spans="1:7" ht="15">
      <c r="A97" s="13"/>
      <c r="B97" s="13"/>
      <c r="C97" s="18"/>
      <c r="D97" s="19"/>
      <c r="E97" s="18"/>
      <c r="F97" s="18" t="s">
        <v>6</v>
      </c>
      <c r="G97" s="20"/>
    </row>
    <row r="99" spans="1:7" s="25" customFormat="1" ht="12.75" customHeight="1">
      <c r="B99" s="26" t="str">
        <f>'1,1'!B32</f>
        <v>Piezīmes:</v>
      </c>
    </row>
    <row r="100" spans="1:7" s="25" customFormat="1" ht="45" customHeight="1">
      <c r="A100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00" s="546"/>
      <c r="C100" s="546"/>
      <c r="D100" s="546"/>
      <c r="E100" s="546"/>
      <c r="F100" s="546"/>
      <c r="G100" s="546"/>
    </row>
    <row r="101" spans="1:7" s="25" customFormat="1" ht="12.75" customHeight="1">
      <c r="A101" s="546">
        <f>'1,1'!$A$34</f>
        <v>0</v>
      </c>
      <c r="B101" s="546"/>
      <c r="C101" s="546"/>
      <c r="D101" s="546"/>
      <c r="E101" s="546"/>
      <c r="F101" s="546"/>
      <c r="G101" s="546"/>
    </row>
    <row r="102" spans="1:7" s="25" customFormat="1" ht="12.75" customHeight="1">
      <c r="B102" s="27"/>
    </row>
    <row r="103" spans="1:7">
      <c r="B103" s="5" t="str">
        <f>'1,1'!B36</f>
        <v>Sastādīja:</v>
      </c>
    </row>
    <row r="104" spans="1:7" ht="14.25" customHeight="1">
      <c r="C104" s="33" t="str">
        <f>'1,1'!C37</f>
        <v>Arnis Gailītis</v>
      </c>
    </row>
    <row r="105" spans="1:7">
      <c r="C105" s="34" t="str">
        <f>'1,1'!C38</f>
        <v>Sertifikāta Nr.20-5643</v>
      </c>
      <c r="D105" s="35"/>
    </row>
    <row r="108" spans="1:7">
      <c r="B108" s="40" t="str">
        <f>'1,1'!B41</f>
        <v>Pārbaudīja:</v>
      </c>
      <c r="C108" s="3"/>
    </row>
    <row r="109" spans="1:7">
      <c r="B109" s="2"/>
      <c r="C109" s="33" t="str">
        <f>'1,1'!C42</f>
        <v>Aivars Mauriņš</v>
      </c>
    </row>
    <row r="110" spans="1:7">
      <c r="B110" s="1"/>
      <c r="C110" s="34" t="str">
        <f>'1,1'!C43</f>
        <v>Sertifikāta Nr.20-5957</v>
      </c>
    </row>
  </sheetData>
  <mergeCells count="15">
    <mergeCell ref="A101:G101"/>
    <mergeCell ref="A100:G10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conditionalFormatting sqref="D93:D94">
    <cfRule type="cellIs" dxfId="0" priority="1" operator="equal">
      <formula>0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19"/>
  <sheetViews>
    <sheetView showZeros="0" view="pageBreakPreview" topLeftCell="A61" zoomScale="80" zoomScaleNormal="100" zoomScaleSheetLayoutView="80" workbookViewId="0">
      <selection activeCell="H100" sqref="H100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3.5</v>
      </c>
      <c r="E1" s="36"/>
      <c r="F1" s="36"/>
      <c r="G1" s="36"/>
    </row>
    <row r="2" spans="1:7" s="9" customFormat="1" ht="15">
      <c r="A2" s="549" t="str">
        <f>C13</f>
        <v>ELT,teritorijas apgaismojums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118"/>
      <c r="B13" s="131">
        <v>0</v>
      </c>
      <c r="C13" s="93" t="str">
        <f>[2]kops3!C25</f>
        <v>ELT,teritorijas apgaismojums</v>
      </c>
      <c r="D13" s="143"/>
      <c r="E13" s="144"/>
      <c r="F13" s="23"/>
      <c r="G13" s="24"/>
    </row>
    <row r="14" spans="1:7" ht="25.5">
      <c r="A14" s="134"/>
      <c r="B14" s="135"/>
      <c r="C14" s="245" t="s">
        <v>1176</v>
      </c>
      <c r="D14" s="162"/>
      <c r="E14" s="162"/>
      <c r="F14" s="21"/>
      <c r="G14" s="22"/>
    </row>
    <row r="15" spans="1:7">
      <c r="A15" s="147"/>
      <c r="B15" s="135"/>
      <c r="C15" s="246" t="s">
        <v>1177</v>
      </c>
      <c r="D15" s="165"/>
      <c r="E15" s="233"/>
      <c r="F15" s="21"/>
      <c r="G15" s="22"/>
    </row>
    <row r="16" spans="1:7" ht="38.25">
      <c r="A16" s="147">
        <v>1</v>
      </c>
      <c r="B16" s="135" t="s">
        <v>751</v>
      </c>
      <c r="C16" s="151" t="s">
        <v>190</v>
      </c>
      <c r="D16" s="165" t="s">
        <v>33</v>
      </c>
      <c r="E16" s="165">
        <v>169</v>
      </c>
      <c r="F16" s="21"/>
      <c r="G16" s="22"/>
    </row>
    <row r="17" spans="1:7" ht="38.25">
      <c r="A17" s="147">
        <v>2</v>
      </c>
      <c r="B17" s="135" t="s">
        <v>751</v>
      </c>
      <c r="C17" s="151" t="s">
        <v>191</v>
      </c>
      <c r="D17" s="165" t="s">
        <v>33</v>
      </c>
      <c r="E17" s="165">
        <v>51</v>
      </c>
      <c r="F17" s="21"/>
      <c r="G17" s="22"/>
    </row>
    <row r="18" spans="1:7" ht="25.5">
      <c r="A18" s="147">
        <v>3</v>
      </c>
      <c r="B18" s="135" t="s">
        <v>751</v>
      </c>
      <c r="C18" s="247" t="s">
        <v>192</v>
      </c>
      <c r="D18" s="248" t="s">
        <v>33</v>
      </c>
      <c r="E18" s="249" t="s">
        <v>193</v>
      </c>
      <c r="F18" s="21"/>
      <c r="G18" s="22"/>
    </row>
    <row r="19" spans="1:7" ht="25.5">
      <c r="A19" s="147">
        <v>4</v>
      </c>
      <c r="B19" s="135" t="s">
        <v>751</v>
      </c>
      <c r="C19" s="247" t="s">
        <v>194</v>
      </c>
      <c r="D19" s="248" t="s">
        <v>33</v>
      </c>
      <c r="E19" s="249" t="s">
        <v>195</v>
      </c>
      <c r="F19" s="21"/>
      <c r="G19" s="22"/>
    </row>
    <row r="20" spans="1:7" ht="25.5">
      <c r="A20" s="147">
        <v>5</v>
      </c>
      <c r="B20" s="135" t="s">
        <v>751</v>
      </c>
      <c r="C20" s="151" t="s">
        <v>196</v>
      </c>
      <c r="D20" s="165" t="s">
        <v>33</v>
      </c>
      <c r="E20" s="249" t="s">
        <v>197</v>
      </c>
      <c r="F20" s="21"/>
      <c r="G20" s="22"/>
    </row>
    <row r="21" spans="1:7">
      <c r="A21" s="147">
        <v>6</v>
      </c>
      <c r="B21" s="135" t="s">
        <v>751</v>
      </c>
      <c r="C21" s="151" t="s">
        <v>198</v>
      </c>
      <c r="D21" s="165" t="s">
        <v>130</v>
      </c>
      <c r="E21" s="196">
        <v>2</v>
      </c>
      <c r="F21" s="21"/>
      <c r="G21" s="22"/>
    </row>
    <row r="22" spans="1:7">
      <c r="A22" s="147">
        <v>7</v>
      </c>
      <c r="B22" s="135" t="s">
        <v>751</v>
      </c>
      <c r="C22" s="250" t="s">
        <v>199</v>
      </c>
      <c r="D22" s="165" t="s">
        <v>38</v>
      </c>
      <c r="E22" s="165">
        <v>9</v>
      </c>
      <c r="F22" s="21"/>
      <c r="G22" s="22"/>
    </row>
    <row r="23" spans="1:7">
      <c r="A23" s="147"/>
      <c r="B23" s="135" t="s">
        <v>99</v>
      </c>
      <c r="C23" s="127" t="s">
        <v>752</v>
      </c>
      <c r="D23" s="184" t="s">
        <v>399</v>
      </c>
      <c r="E23" s="184">
        <v>18</v>
      </c>
      <c r="F23" s="21"/>
      <c r="G23" s="22"/>
    </row>
    <row r="24" spans="1:7">
      <c r="A24" s="147">
        <v>8</v>
      </c>
      <c r="B24" s="135" t="s">
        <v>751</v>
      </c>
      <c r="C24" s="127" t="s">
        <v>200</v>
      </c>
      <c r="D24" s="184" t="s">
        <v>201</v>
      </c>
      <c r="E24" s="184">
        <v>2</v>
      </c>
      <c r="F24" s="21"/>
      <c r="G24" s="22"/>
    </row>
    <row r="25" spans="1:7">
      <c r="A25" s="147">
        <v>9</v>
      </c>
      <c r="B25" s="135" t="s">
        <v>751</v>
      </c>
      <c r="C25" s="251" t="s">
        <v>753</v>
      </c>
      <c r="D25" s="163" t="s">
        <v>321</v>
      </c>
      <c r="E25" s="252" t="s">
        <v>461</v>
      </c>
      <c r="F25" s="21"/>
      <c r="G25" s="22"/>
    </row>
    <row r="26" spans="1:7">
      <c r="A26" s="147"/>
      <c r="B26" s="135"/>
      <c r="C26" s="169"/>
      <c r="D26" s="165"/>
      <c r="E26" s="233"/>
      <c r="F26" s="21"/>
      <c r="G26" s="22"/>
    </row>
    <row r="27" spans="1:7">
      <c r="A27" s="147"/>
      <c r="B27" s="135"/>
      <c r="C27" s="253" t="s">
        <v>203</v>
      </c>
      <c r="D27" s="254"/>
      <c r="E27" s="255"/>
      <c r="F27" s="21"/>
      <c r="G27" s="22"/>
    </row>
    <row r="28" spans="1:7">
      <c r="A28" s="147">
        <v>1</v>
      </c>
      <c r="B28" s="135" t="s">
        <v>751</v>
      </c>
      <c r="C28" s="256" t="s">
        <v>204</v>
      </c>
      <c r="D28" s="254" t="s">
        <v>33</v>
      </c>
      <c r="E28" s="255">
        <v>93</v>
      </c>
      <c r="F28" s="21"/>
      <c r="G28" s="22"/>
    </row>
    <row r="29" spans="1:7" ht="25.5">
      <c r="A29" s="147">
        <v>2</v>
      </c>
      <c r="B29" s="135" t="s">
        <v>751</v>
      </c>
      <c r="C29" s="257" t="s">
        <v>205</v>
      </c>
      <c r="D29" s="165" t="s">
        <v>130</v>
      </c>
      <c r="E29" s="255">
        <v>1</v>
      </c>
      <c r="F29" s="21"/>
      <c r="G29" s="22"/>
    </row>
    <row r="30" spans="1:7">
      <c r="A30" s="147">
        <v>3</v>
      </c>
      <c r="B30" s="135" t="s">
        <v>751</v>
      </c>
      <c r="C30" s="251" t="s">
        <v>754</v>
      </c>
      <c r="D30" s="184" t="s">
        <v>130</v>
      </c>
      <c r="E30" s="258">
        <v>1</v>
      </c>
      <c r="F30" s="21"/>
      <c r="G30" s="22"/>
    </row>
    <row r="31" spans="1:7">
      <c r="A31" s="147">
        <v>4</v>
      </c>
      <c r="B31" s="135" t="s">
        <v>751</v>
      </c>
      <c r="C31" s="251" t="s">
        <v>755</v>
      </c>
      <c r="D31" s="184" t="s">
        <v>130</v>
      </c>
      <c r="E31" s="258">
        <v>1</v>
      </c>
      <c r="F31" s="21"/>
      <c r="G31" s="22"/>
    </row>
    <row r="32" spans="1:7">
      <c r="A32" s="147"/>
      <c r="B32" s="135"/>
      <c r="C32" s="169"/>
      <c r="D32" s="165"/>
      <c r="E32" s="233"/>
      <c r="F32" s="21"/>
      <c r="G32" s="22"/>
    </row>
    <row r="33" spans="1:7">
      <c r="A33" s="147"/>
      <c r="B33" s="135"/>
      <c r="C33" s="259" t="s">
        <v>206</v>
      </c>
      <c r="D33" s="165"/>
      <c r="E33" s="233"/>
      <c r="F33" s="21"/>
      <c r="G33" s="22"/>
    </row>
    <row r="34" spans="1:7">
      <c r="A34" s="147">
        <v>1</v>
      </c>
      <c r="B34" s="135" t="s">
        <v>751</v>
      </c>
      <c r="C34" s="260" t="s">
        <v>207</v>
      </c>
      <c r="D34" s="261" t="s">
        <v>208</v>
      </c>
      <c r="E34" s="262">
        <v>0.22</v>
      </c>
      <c r="F34" s="21"/>
      <c r="G34" s="22"/>
    </row>
    <row r="35" spans="1:7">
      <c r="A35" s="147">
        <v>2</v>
      </c>
      <c r="B35" s="135" t="s">
        <v>751</v>
      </c>
      <c r="C35" s="260" t="s">
        <v>209</v>
      </c>
      <c r="D35" s="261" t="s">
        <v>208</v>
      </c>
      <c r="E35" s="262">
        <v>0.22</v>
      </c>
      <c r="F35" s="21"/>
      <c r="G35" s="22"/>
    </row>
    <row r="36" spans="1:7">
      <c r="A36" s="147">
        <v>3</v>
      </c>
      <c r="B36" s="135" t="s">
        <v>751</v>
      </c>
      <c r="C36" s="263" t="s">
        <v>210</v>
      </c>
      <c r="D36" s="261" t="s">
        <v>211</v>
      </c>
      <c r="E36" s="262">
        <v>1</v>
      </c>
      <c r="F36" s="21"/>
      <c r="G36" s="22"/>
    </row>
    <row r="37" spans="1:7">
      <c r="A37" s="147">
        <v>4</v>
      </c>
      <c r="B37" s="135" t="s">
        <v>751</v>
      </c>
      <c r="C37" s="263" t="s">
        <v>212</v>
      </c>
      <c r="D37" s="261" t="s">
        <v>211</v>
      </c>
      <c r="E37" s="262">
        <v>1</v>
      </c>
      <c r="F37" s="21"/>
      <c r="G37" s="22"/>
    </row>
    <row r="38" spans="1:7">
      <c r="A38" s="147"/>
      <c r="B38" s="135"/>
      <c r="C38" s="169"/>
      <c r="D38" s="165"/>
      <c r="E38" s="233"/>
      <c r="F38" s="21"/>
      <c r="G38" s="22"/>
    </row>
    <row r="39" spans="1:7">
      <c r="A39" s="147"/>
      <c r="B39" s="135"/>
      <c r="C39" s="264" t="s">
        <v>213</v>
      </c>
      <c r="D39" s="165"/>
      <c r="E39" s="233"/>
      <c r="F39" s="21"/>
      <c r="G39" s="22"/>
    </row>
    <row r="40" spans="1:7">
      <c r="A40" s="147">
        <v>1</v>
      </c>
      <c r="B40" s="135" t="s">
        <v>751</v>
      </c>
      <c r="C40" s="265" t="s">
        <v>214</v>
      </c>
      <c r="D40" s="254" t="s">
        <v>33</v>
      </c>
      <c r="E40" s="254">
        <v>250</v>
      </c>
      <c r="F40" s="21"/>
      <c r="G40" s="22"/>
    </row>
    <row r="41" spans="1:7">
      <c r="A41" s="147">
        <v>2</v>
      </c>
      <c r="B41" s="135" t="s">
        <v>751</v>
      </c>
      <c r="C41" s="266" t="s">
        <v>215</v>
      </c>
      <c r="D41" s="267" t="s">
        <v>38</v>
      </c>
      <c r="E41" s="165">
        <v>9</v>
      </c>
      <c r="F41" s="21"/>
      <c r="G41" s="22"/>
    </row>
    <row r="42" spans="1:7">
      <c r="A42" s="147">
        <v>3</v>
      </c>
      <c r="B42" s="135" t="s">
        <v>751</v>
      </c>
      <c r="C42" s="268" t="s">
        <v>216</v>
      </c>
      <c r="D42" s="254" t="s">
        <v>217</v>
      </c>
      <c r="E42" s="254">
        <v>2</v>
      </c>
      <c r="F42" s="21"/>
      <c r="G42" s="22"/>
    </row>
    <row r="43" spans="1:7">
      <c r="A43" s="147">
        <v>4</v>
      </c>
      <c r="B43" s="135" t="s">
        <v>751</v>
      </c>
      <c r="C43" s="260" t="s">
        <v>218</v>
      </c>
      <c r="D43" s="261" t="s">
        <v>33</v>
      </c>
      <c r="E43" s="254">
        <v>51</v>
      </c>
      <c r="F43" s="21"/>
      <c r="G43" s="22"/>
    </row>
    <row r="44" spans="1:7">
      <c r="A44" s="147">
        <v>5</v>
      </c>
      <c r="B44" s="135" t="s">
        <v>751</v>
      </c>
      <c r="C44" s="269" t="s">
        <v>219</v>
      </c>
      <c r="D44" s="270" t="s">
        <v>33</v>
      </c>
      <c r="E44" s="270">
        <v>25</v>
      </c>
      <c r="F44" s="21"/>
      <c r="G44" s="22"/>
    </row>
    <row r="45" spans="1:7">
      <c r="A45" s="147">
        <v>6</v>
      </c>
      <c r="B45" s="135" t="s">
        <v>751</v>
      </c>
      <c r="C45" s="269" t="s">
        <v>756</v>
      </c>
      <c r="D45" s="163" t="s">
        <v>38</v>
      </c>
      <c r="E45" s="270">
        <v>3</v>
      </c>
      <c r="F45" s="21"/>
      <c r="G45" s="22"/>
    </row>
    <row r="46" spans="1:7">
      <c r="A46" s="147">
        <v>7</v>
      </c>
      <c r="B46" s="135" t="s">
        <v>751</v>
      </c>
      <c r="C46" s="271" t="s">
        <v>757</v>
      </c>
      <c r="D46" s="163" t="s">
        <v>38</v>
      </c>
      <c r="E46" s="270">
        <v>3</v>
      </c>
      <c r="F46" s="21"/>
      <c r="G46" s="22"/>
    </row>
    <row r="47" spans="1:7">
      <c r="A47" s="147"/>
      <c r="B47" s="135"/>
      <c r="C47" s="169"/>
      <c r="D47" s="165"/>
      <c r="E47" s="233"/>
      <c r="F47" s="21"/>
      <c r="G47" s="22"/>
    </row>
    <row r="48" spans="1:7">
      <c r="A48" s="147"/>
      <c r="B48" s="135"/>
      <c r="C48" s="272" t="s">
        <v>1178</v>
      </c>
      <c r="D48" s="165"/>
      <c r="E48" s="233"/>
      <c r="F48" s="21"/>
      <c r="G48" s="22"/>
    </row>
    <row r="49" spans="1:7">
      <c r="A49" s="147"/>
      <c r="B49" s="135"/>
      <c r="C49" s="273" t="s">
        <v>1179</v>
      </c>
      <c r="D49" s="165"/>
      <c r="E49" s="233"/>
      <c r="F49" s="21"/>
      <c r="G49" s="22"/>
    </row>
    <row r="50" spans="1:7" ht="38.25">
      <c r="A50" s="147">
        <v>1</v>
      </c>
      <c r="B50" s="135" t="s">
        <v>751</v>
      </c>
      <c r="C50" s="151" t="s">
        <v>220</v>
      </c>
      <c r="D50" s="165" t="s">
        <v>33</v>
      </c>
      <c r="E50" s="274" t="s">
        <v>221</v>
      </c>
      <c r="F50" s="21"/>
      <c r="G50" s="22"/>
    </row>
    <row r="51" spans="1:7" ht="25.5">
      <c r="A51" s="147">
        <v>2</v>
      </c>
      <c r="B51" s="135" t="s">
        <v>751</v>
      </c>
      <c r="C51" s="151" t="s">
        <v>222</v>
      </c>
      <c r="D51" s="165" t="s">
        <v>33</v>
      </c>
      <c r="E51" s="274" t="s">
        <v>223</v>
      </c>
      <c r="F51" s="21"/>
      <c r="G51" s="22"/>
    </row>
    <row r="52" spans="1:7" ht="25.5">
      <c r="A52" s="147">
        <v>3</v>
      </c>
      <c r="B52" s="135" t="s">
        <v>751</v>
      </c>
      <c r="C52" s="151" t="s">
        <v>224</v>
      </c>
      <c r="D52" s="165" t="s">
        <v>33</v>
      </c>
      <c r="E52" s="274" t="s">
        <v>225</v>
      </c>
      <c r="F52" s="21"/>
      <c r="G52" s="22"/>
    </row>
    <row r="53" spans="1:7" ht="25.5">
      <c r="A53" s="147">
        <v>4</v>
      </c>
      <c r="B53" s="135" t="s">
        <v>751</v>
      </c>
      <c r="C53" s="275" t="s">
        <v>194</v>
      </c>
      <c r="D53" s="276" t="s">
        <v>33</v>
      </c>
      <c r="E53" s="274" t="s">
        <v>226</v>
      </c>
      <c r="F53" s="21"/>
      <c r="G53" s="22"/>
    </row>
    <row r="54" spans="1:7" ht="25.5">
      <c r="A54" s="147">
        <v>5</v>
      </c>
      <c r="B54" s="135" t="s">
        <v>751</v>
      </c>
      <c r="C54" s="151" t="s">
        <v>227</v>
      </c>
      <c r="D54" s="165" t="s">
        <v>33</v>
      </c>
      <c r="E54" s="274" t="s">
        <v>228</v>
      </c>
      <c r="F54" s="21"/>
      <c r="G54" s="22"/>
    </row>
    <row r="55" spans="1:7">
      <c r="A55" s="147">
        <v>6</v>
      </c>
      <c r="B55" s="135" t="s">
        <v>751</v>
      </c>
      <c r="C55" s="151" t="s">
        <v>229</v>
      </c>
      <c r="D55" s="165" t="s">
        <v>33</v>
      </c>
      <c r="E55" s="274" t="s">
        <v>226</v>
      </c>
      <c r="F55" s="21"/>
      <c r="G55" s="22"/>
    </row>
    <row r="56" spans="1:7" ht="25.5">
      <c r="A56" s="147">
        <v>7</v>
      </c>
      <c r="B56" s="135" t="s">
        <v>751</v>
      </c>
      <c r="C56" s="151" t="s">
        <v>1180</v>
      </c>
      <c r="D56" s="165" t="s">
        <v>130</v>
      </c>
      <c r="E56" s="274" t="s">
        <v>230</v>
      </c>
      <c r="F56" s="21"/>
      <c r="G56" s="22"/>
    </row>
    <row r="57" spans="1:7">
      <c r="A57" s="147">
        <v>8</v>
      </c>
      <c r="B57" s="135" t="s">
        <v>751</v>
      </c>
      <c r="C57" s="151" t="s">
        <v>200</v>
      </c>
      <c r="D57" s="165" t="s">
        <v>201</v>
      </c>
      <c r="E57" s="274" t="s">
        <v>230</v>
      </c>
      <c r="F57" s="21"/>
      <c r="G57" s="22"/>
    </row>
    <row r="58" spans="1:7" ht="25.5">
      <c r="A58" s="147">
        <v>9</v>
      </c>
      <c r="B58" s="135" t="s">
        <v>99</v>
      </c>
      <c r="C58" s="127" t="s">
        <v>758</v>
      </c>
      <c r="D58" s="184" t="s">
        <v>711</v>
      </c>
      <c r="E58" s="277" t="s">
        <v>197</v>
      </c>
      <c r="F58" s="21"/>
      <c r="G58" s="22"/>
    </row>
    <row r="59" spans="1:7">
      <c r="A59" s="147">
        <v>10</v>
      </c>
      <c r="B59" s="135" t="s">
        <v>99</v>
      </c>
      <c r="C59" s="127" t="s">
        <v>752</v>
      </c>
      <c r="D59" s="184" t="s">
        <v>711</v>
      </c>
      <c r="E59" s="278">
        <v>22</v>
      </c>
      <c r="F59" s="21"/>
      <c r="G59" s="22"/>
    </row>
    <row r="60" spans="1:7">
      <c r="A60" s="147"/>
      <c r="B60" s="135"/>
      <c r="C60" s="264" t="s">
        <v>231</v>
      </c>
      <c r="D60" s="165"/>
      <c r="E60" s="233"/>
      <c r="F60" s="21"/>
      <c r="G60" s="22"/>
    </row>
    <row r="61" spans="1:7">
      <c r="A61" s="147">
        <v>1</v>
      </c>
      <c r="B61" s="135" t="s">
        <v>751</v>
      </c>
      <c r="C61" s="256" t="s">
        <v>204</v>
      </c>
      <c r="D61" s="254" t="s">
        <v>33</v>
      </c>
      <c r="E61" s="255">
        <v>116</v>
      </c>
      <c r="F61" s="21"/>
      <c r="G61" s="22"/>
    </row>
    <row r="62" spans="1:7">
      <c r="A62" s="147"/>
      <c r="B62" s="135"/>
      <c r="C62" s="169"/>
      <c r="D62" s="165"/>
      <c r="E62" s="233"/>
      <c r="F62" s="21"/>
      <c r="G62" s="22"/>
    </row>
    <row r="63" spans="1:7">
      <c r="A63" s="147"/>
      <c r="B63" s="135"/>
      <c r="C63" s="264" t="s">
        <v>232</v>
      </c>
      <c r="D63" s="165"/>
      <c r="E63" s="233"/>
      <c r="F63" s="21"/>
      <c r="G63" s="22"/>
    </row>
    <row r="64" spans="1:7">
      <c r="A64" s="147">
        <v>1</v>
      </c>
      <c r="B64" s="135" t="s">
        <v>751</v>
      </c>
      <c r="C64" s="268" t="s">
        <v>233</v>
      </c>
      <c r="D64" s="254" t="s">
        <v>33</v>
      </c>
      <c r="E64" s="254">
        <v>75</v>
      </c>
      <c r="F64" s="21"/>
      <c r="G64" s="22"/>
    </row>
    <row r="65" spans="1:7">
      <c r="A65" s="147">
        <v>2</v>
      </c>
      <c r="B65" s="135" t="s">
        <v>751</v>
      </c>
      <c r="C65" s="268" t="s">
        <v>234</v>
      </c>
      <c r="D65" s="254" t="s">
        <v>33</v>
      </c>
      <c r="E65" s="254">
        <v>140</v>
      </c>
      <c r="F65" s="21"/>
      <c r="G65" s="22"/>
    </row>
    <row r="66" spans="1:7">
      <c r="A66" s="147">
        <v>3</v>
      </c>
      <c r="B66" s="135" t="s">
        <v>751</v>
      </c>
      <c r="C66" s="268" t="s">
        <v>235</v>
      </c>
      <c r="D66" s="254" t="s">
        <v>33</v>
      </c>
      <c r="E66" s="254">
        <v>80</v>
      </c>
      <c r="F66" s="21"/>
      <c r="G66" s="22"/>
    </row>
    <row r="67" spans="1:7" ht="25.5">
      <c r="A67" s="147">
        <v>4</v>
      </c>
      <c r="B67" s="135" t="s">
        <v>751</v>
      </c>
      <c r="C67" s="268" t="s">
        <v>236</v>
      </c>
      <c r="D67" s="254" t="s">
        <v>33</v>
      </c>
      <c r="E67" s="254">
        <v>64</v>
      </c>
      <c r="F67" s="21"/>
      <c r="G67" s="22"/>
    </row>
    <row r="68" spans="1:7" ht="25.5">
      <c r="A68" s="147">
        <v>5</v>
      </c>
      <c r="B68" s="135" t="s">
        <v>751</v>
      </c>
      <c r="C68" s="268" t="s">
        <v>237</v>
      </c>
      <c r="D68" s="254" t="s">
        <v>33</v>
      </c>
      <c r="E68" s="254">
        <v>41</v>
      </c>
      <c r="F68" s="21"/>
      <c r="G68" s="22"/>
    </row>
    <row r="69" spans="1:7">
      <c r="A69" s="147">
        <v>6</v>
      </c>
      <c r="B69" s="135" t="s">
        <v>751</v>
      </c>
      <c r="C69" s="250" t="s">
        <v>238</v>
      </c>
      <c r="D69" s="254" t="s">
        <v>217</v>
      </c>
      <c r="E69" s="254">
        <v>4</v>
      </c>
      <c r="F69" s="21"/>
      <c r="G69" s="22"/>
    </row>
    <row r="70" spans="1:7">
      <c r="A70" s="147">
        <v>7</v>
      </c>
      <c r="B70" s="135" t="s">
        <v>751</v>
      </c>
      <c r="C70" s="269" t="s">
        <v>219</v>
      </c>
      <c r="D70" s="270" t="s">
        <v>33</v>
      </c>
      <c r="E70" s="270">
        <v>220</v>
      </c>
      <c r="F70" s="21"/>
      <c r="G70" s="22"/>
    </row>
    <row r="71" spans="1:7">
      <c r="A71" s="147"/>
      <c r="B71" s="135"/>
      <c r="C71" s="169"/>
      <c r="D71" s="165"/>
      <c r="E71" s="233"/>
      <c r="F71" s="21"/>
      <c r="G71" s="22"/>
    </row>
    <row r="72" spans="1:7">
      <c r="A72" s="147"/>
      <c r="B72" s="135"/>
      <c r="C72" s="245" t="s">
        <v>239</v>
      </c>
      <c r="D72" s="165"/>
      <c r="E72" s="233"/>
      <c r="F72" s="21"/>
      <c r="G72" s="22"/>
    </row>
    <row r="73" spans="1:7">
      <c r="A73" s="147"/>
      <c r="B73" s="135"/>
      <c r="C73" s="273" t="s">
        <v>1181</v>
      </c>
      <c r="D73" s="165"/>
      <c r="E73" s="233"/>
      <c r="F73" s="21"/>
      <c r="G73" s="22"/>
    </row>
    <row r="74" spans="1:7" ht="38.25">
      <c r="A74" s="147">
        <v>1</v>
      </c>
      <c r="B74" s="135" t="s">
        <v>751</v>
      </c>
      <c r="C74" s="151" t="s">
        <v>220</v>
      </c>
      <c r="D74" s="165" t="s">
        <v>33</v>
      </c>
      <c r="E74" s="274" t="s">
        <v>240</v>
      </c>
      <c r="F74" s="21"/>
      <c r="G74" s="22"/>
    </row>
    <row r="75" spans="1:7" ht="25.5">
      <c r="A75" s="147">
        <v>2</v>
      </c>
      <c r="B75" s="135" t="s">
        <v>751</v>
      </c>
      <c r="C75" s="275" t="s">
        <v>194</v>
      </c>
      <c r="D75" s="276" t="s">
        <v>33</v>
      </c>
      <c r="E75" s="274" t="s">
        <v>241</v>
      </c>
      <c r="F75" s="21"/>
      <c r="G75" s="22"/>
    </row>
    <row r="76" spans="1:7">
      <c r="A76" s="147">
        <v>3</v>
      </c>
      <c r="B76" s="135" t="s">
        <v>751</v>
      </c>
      <c r="C76" s="151" t="s">
        <v>229</v>
      </c>
      <c r="D76" s="165" t="s">
        <v>33</v>
      </c>
      <c r="E76" s="274" t="s">
        <v>241</v>
      </c>
      <c r="F76" s="21"/>
      <c r="G76" s="22"/>
    </row>
    <row r="77" spans="1:7">
      <c r="A77" s="147">
        <v>4</v>
      </c>
      <c r="B77" s="135" t="s">
        <v>751</v>
      </c>
      <c r="C77" s="150" t="s">
        <v>242</v>
      </c>
      <c r="D77" s="150" t="s">
        <v>243</v>
      </c>
      <c r="E77" s="196">
        <v>10</v>
      </c>
      <c r="F77" s="21"/>
      <c r="G77" s="22"/>
    </row>
    <row r="78" spans="1:7">
      <c r="A78" s="147">
        <v>5</v>
      </c>
      <c r="B78" s="135" t="s">
        <v>751</v>
      </c>
      <c r="C78" s="150" t="s">
        <v>244</v>
      </c>
      <c r="D78" s="150" t="s">
        <v>243</v>
      </c>
      <c r="E78" s="196">
        <v>8</v>
      </c>
      <c r="F78" s="21"/>
      <c r="G78" s="22"/>
    </row>
    <row r="79" spans="1:7">
      <c r="A79" s="147"/>
      <c r="B79" s="135"/>
      <c r="C79" s="169"/>
      <c r="D79" s="165"/>
      <c r="E79" s="233"/>
      <c r="F79" s="21"/>
      <c r="G79" s="22"/>
    </row>
    <row r="80" spans="1:7">
      <c r="A80" s="147"/>
      <c r="B80" s="135"/>
      <c r="C80" s="264" t="s">
        <v>245</v>
      </c>
      <c r="D80" s="165"/>
      <c r="E80" s="233"/>
      <c r="F80" s="21"/>
      <c r="G80" s="22"/>
    </row>
    <row r="81" spans="1:7">
      <c r="A81" s="147">
        <v>1</v>
      </c>
      <c r="B81" s="135" t="s">
        <v>751</v>
      </c>
      <c r="C81" s="256" t="s">
        <v>204</v>
      </c>
      <c r="D81" s="254" t="s">
        <v>33</v>
      </c>
      <c r="E81" s="255">
        <v>222</v>
      </c>
      <c r="F81" s="21"/>
      <c r="G81" s="22"/>
    </row>
    <row r="82" spans="1:7">
      <c r="A82" s="147">
        <v>2</v>
      </c>
      <c r="B82" s="135" t="s">
        <v>751</v>
      </c>
      <c r="C82" s="263" t="s">
        <v>246</v>
      </c>
      <c r="D82" s="261" t="s">
        <v>243</v>
      </c>
      <c r="E82" s="255">
        <v>3</v>
      </c>
      <c r="F82" s="21"/>
      <c r="G82" s="22"/>
    </row>
    <row r="83" spans="1:7">
      <c r="A83" s="147"/>
      <c r="B83" s="135"/>
      <c r="C83" s="264" t="s">
        <v>247</v>
      </c>
      <c r="D83" s="165"/>
      <c r="E83" s="233"/>
      <c r="F83" s="21"/>
      <c r="G83" s="22"/>
    </row>
    <row r="84" spans="1:7">
      <c r="A84" s="147">
        <v>1</v>
      </c>
      <c r="B84" s="135" t="s">
        <v>751</v>
      </c>
      <c r="C84" s="268" t="s">
        <v>1182</v>
      </c>
      <c r="D84" s="254" t="s">
        <v>33</v>
      </c>
      <c r="E84" s="254">
        <v>450</v>
      </c>
      <c r="F84" s="21"/>
      <c r="G84" s="22"/>
    </row>
    <row r="85" spans="1:7">
      <c r="A85" s="147">
        <v>2</v>
      </c>
      <c r="B85" s="135" t="s">
        <v>751</v>
      </c>
      <c r="C85" s="268" t="s">
        <v>248</v>
      </c>
      <c r="D85" s="254" t="s">
        <v>33</v>
      </c>
      <c r="E85" s="254">
        <v>100</v>
      </c>
      <c r="F85" s="21"/>
      <c r="G85" s="22"/>
    </row>
    <row r="86" spans="1:7">
      <c r="A86" s="147">
        <v>3</v>
      </c>
      <c r="B86" s="135" t="s">
        <v>751</v>
      </c>
      <c r="C86" s="268" t="s">
        <v>249</v>
      </c>
      <c r="D86" s="254" t="s">
        <v>33</v>
      </c>
      <c r="E86" s="254">
        <v>100</v>
      </c>
      <c r="F86" s="21"/>
      <c r="G86" s="22"/>
    </row>
    <row r="87" spans="1:7" ht="25.5">
      <c r="A87" s="147">
        <v>4</v>
      </c>
      <c r="B87" s="135" t="s">
        <v>751</v>
      </c>
      <c r="C87" s="268" t="s">
        <v>250</v>
      </c>
      <c r="D87" s="254" t="s">
        <v>33</v>
      </c>
      <c r="E87" s="254">
        <v>60</v>
      </c>
      <c r="F87" s="21"/>
      <c r="G87" s="22"/>
    </row>
    <row r="88" spans="1:7" ht="25.5">
      <c r="A88" s="147">
        <v>5</v>
      </c>
      <c r="B88" s="135" t="s">
        <v>751</v>
      </c>
      <c r="C88" s="268" t="s">
        <v>251</v>
      </c>
      <c r="D88" s="254" t="s">
        <v>33</v>
      </c>
      <c r="E88" s="254">
        <v>177</v>
      </c>
      <c r="F88" s="21"/>
      <c r="G88" s="22"/>
    </row>
    <row r="89" spans="1:7">
      <c r="A89" s="147">
        <v>6</v>
      </c>
      <c r="B89" s="135" t="s">
        <v>751</v>
      </c>
      <c r="C89" s="269" t="s">
        <v>219</v>
      </c>
      <c r="D89" s="270" t="s">
        <v>33</v>
      </c>
      <c r="E89" s="270">
        <v>350</v>
      </c>
      <c r="F89" s="21"/>
      <c r="G89" s="22"/>
    </row>
    <row r="90" spans="1:7" ht="25.5">
      <c r="A90" s="147">
        <v>7</v>
      </c>
      <c r="B90" s="135" t="s">
        <v>751</v>
      </c>
      <c r="C90" s="279" t="s">
        <v>252</v>
      </c>
      <c r="D90" s="280" t="s">
        <v>217</v>
      </c>
      <c r="E90" s="280">
        <v>10</v>
      </c>
      <c r="F90" s="21"/>
      <c r="G90" s="22"/>
    </row>
    <row r="91" spans="1:7" ht="38.25">
      <c r="A91" s="147">
        <v>8</v>
      </c>
      <c r="B91" s="135" t="s">
        <v>751</v>
      </c>
      <c r="C91" s="281" t="s">
        <v>253</v>
      </c>
      <c r="D91" s="280" t="s">
        <v>217</v>
      </c>
      <c r="E91" s="280">
        <v>1</v>
      </c>
      <c r="F91" s="21"/>
      <c r="G91" s="22"/>
    </row>
    <row r="92" spans="1:7" ht="25.5">
      <c r="A92" s="147">
        <v>9</v>
      </c>
      <c r="B92" s="135" t="s">
        <v>751</v>
      </c>
      <c r="C92" s="281" t="s">
        <v>254</v>
      </c>
      <c r="D92" s="280" t="s">
        <v>217</v>
      </c>
      <c r="E92" s="280">
        <v>8</v>
      </c>
      <c r="F92" s="21"/>
      <c r="G92" s="22"/>
    </row>
    <row r="93" spans="1:7">
      <c r="A93" s="147">
        <v>10</v>
      </c>
      <c r="B93" s="135" t="s">
        <v>751</v>
      </c>
      <c r="C93" s="282" t="s">
        <v>255</v>
      </c>
      <c r="D93" s="280" t="s">
        <v>256</v>
      </c>
      <c r="E93" s="280">
        <v>10</v>
      </c>
      <c r="F93" s="21"/>
      <c r="G93" s="22"/>
    </row>
    <row r="94" spans="1:7" ht="25.5">
      <c r="A94" s="147">
        <v>11</v>
      </c>
      <c r="B94" s="135" t="s">
        <v>751</v>
      </c>
      <c r="C94" s="282" t="s">
        <v>257</v>
      </c>
      <c r="D94" s="280" t="s">
        <v>256</v>
      </c>
      <c r="E94" s="280">
        <v>8</v>
      </c>
      <c r="F94" s="21"/>
      <c r="G94" s="22"/>
    </row>
    <row r="95" spans="1:7">
      <c r="A95" s="147">
        <v>12</v>
      </c>
      <c r="B95" s="135" t="s">
        <v>751</v>
      </c>
      <c r="C95" s="283" t="s">
        <v>258</v>
      </c>
      <c r="D95" s="280" t="s">
        <v>256</v>
      </c>
      <c r="E95" s="280">
        <v>10</v>
      </c>
      <c r="F95" s="21"/>
      <c r="G95" s="22"/>
    </row>
    <row r="96" spans="1:7">
      <c r="A96" s="147">
        <v>13</v>
      </c>
      <c r="B96" s="135" t="s">
        <v>751</v>
      </c>
      <c r="C96" s="284" t="s">
        <v>1183</v>
      </c>
      <c r="D96" s="280" t="s">
        <v>256</v>
      </c>
      <c r="E96" s="280">
        <v>10</v>
      </c>
      <c r="F96" s="21"/>
      <c r="G96" s="22"/>
    </row>
    <row r="97" spans="1:7" ht="25.5">
      <c r="A97" s="147">
        <v>14</v>
      </c>
      <c r="B97" s="135" t="s">
        <v>751</v>
      </c>
      <c r="C97" s="283" t="s">
        <v>259</v>
      </c>
      <c r="D97" s="280" t="s">
        <v>256</v>
      </c>
      <c r="E97" s="280">
        <v>10</v>
      </c>
      <c r="F97" s="21"/>
      <c r="G97" s="22"/>
    </row>
    <row r="98" spans="1:7">
      <c r="A98" s="147">
        <v>15</v>
      </c>
      <c r="B98" s="135" t="s">
        <v>751</v>
      </c>
      <c r="C98" s="285" t="s">
        <v>1184</v>
      </c>
      <c r="D98" s="280" t="s">
        <v>256</v>
      </c>
      <c r="E98" s="280">
        <v>10</v>
      </c>
      <c r="F98" s="21"/>
      <c r="G98" s="22"/>
    </row>
    <row r="99" spans="1:7" ht="15.75">
      <c r="A99" s="147">
        <v>16</v>
      </c>
      <c r="B99" s="135" t="s">
        <v>751</v>
      </c>
      <c r="C99" s="282" t="s">
        <v>260</v>
      </c>
      <c r="D99" s="280" t="s">
        <v>261</v>
      </c>
      <c r="E99" s="280">
        <v>1</v>
      </c>
      <c r="F99" s="21"/>
      <c r="G99" s="22"/>
    </row>
    <row r="100" spans="1:7" ht="15.75">
      <c r="A100" s="147">
        <v>17</v>
      </c>
      <c r="B100" s="135" t="s">
        <v>751</v>
      </c>
      <c r="C100" s="282" t="s">
        <v>262</v>
      </c>
      <c r="D100" s="280" t="s">
        <v>261</v>
      </c>
      <c r="E100" s="280">
        <v>2</v>
      </c>
      <c r="F100" s="21"/>
      <c r="G100" s="22"/>
    </row>
    <row r="101" spans="1:7">
      <c r="A101" s="147">
        <v>18</v>
      </c>
      <c r="B101" s="135" t="s">
        <v>751</v>
      </c>
      <c r="C101" s="284" t="s">
        <v>51</v>
      </c>
      <c r="D101" s="280" t="s">
        <v>217</v>
      </c>
      <c r="E101" s="286">
        <v>1</v>
      </c>
      <c r="F101" s="21"/>
      <c r="G101" s="22"/>
    </row>
    <row r="102" spans="1:7">
      <c r="A102" s="147"/>
      <c r="B102" s="135"/>
      <c r="C102" s="169"/>
      <c r="D102" s="165"/>
      <c r="E102" s="233"/>
      <c r="F102" s="21"/>
      <c r="G102" s="22"/>
    </row>
    <row r="103" spans="1:7">
      <c r="A103" s="147"/>
      <c r="B103" s="135"/>
      <c r="C103" s="259" t="s">
        <v>263</v>
      </c>
      <c r="D103" s="165"/>
      <c r="E103" s="233"/>
      <c r="F103" s="52"/>
      <c r="G103" s="53"/>
    </row>
    <row r="104" spans="1:7">
      <c r="A104" s="147">
        <v>1</v>
      </c>
      <c r="B104" s="135" t="s">
        <v>751</v>
      </c>
      <c r="C104" s="257" t="s">
        <v>207</v>
      </c>
      <c r="D104" s="267" t="s">
        <v>208</v>
      </c>
      <c r="E104" s="262">
        <v>0.58799999999999997</v>
      </c>
      <c r="F104" s="52"/>
      <c r="G104" s="53"/>
    </row>
    <row r="105" spans="1:7">
      <c r="A105" s="147">
        <v>2</v>
      </c>
      <c r="B105" s="135" t="s">
        <v>751</v>
      </c>
      <c r="C105" s="260" t="s">
        <v>209</v>
      </c>
      <c r="D105" s="261" t="s">
        <v>208</v>
      </c>
      <c r="E105" s="262">
        <v>0.58799999999999997</v>
      </c>
      <c r="F105" s="52"/>
      <c r="G105" s="53"/>
    </row>
    <row r="106" spans="1:7" ht="15">
      <c r="A106" s="13"/>
      <c r="B106" s="13"/>
      <c r="C106" s="18"/>
      <c r="D106" s="19"/>
      <c r="E106" s="18"/>
      <c r="F106" s="18" t="s">
        <v>6</v>
      </c>
      <c r="G106" s="20"/>
    </row>
    <row r="108" spans="1:7" s="25" customFormat="1" ht="12.75" customHeight="1">
      <c r="B108" s="26" t="str">
        <f>'1,1'!B32</f>
        <v>Piezīmes:</v>
      </c>
    </row>
    <row r="109" spans="1:7" s="25" customFormat="1" ht="45" customHeight="1">
      <c r="A109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09" s="546"/>
      <c r="C109" s="546"/>
      <c r="D109" s="546"/>
      <c r="E109" s="546"/>
      <c r="F109" s="546"/>
      <c r="G109" s="546"/>
    </row>
    <row r="110" spans="1:7" s="25" customFormat="1" ht="12.75" customHeight="1">
      <c r="A110" s="546">
        <f>'1,1'!$A$34</f>
        <v>0</v>
      </c>
      <c r="B110" s="546"/>
      <c r="C110" s="546"/>
      <c r="D110" s="546"/>
      <c r="E110" s="546"/>
      <c r="F110" s="546"/>
      <c r="G110" s="546"/>
    </row>
    <row r="111" spans="1:7" s="25" customFormat="1" ht="12.75" customHeight="1">
      <c r="B111" s="27"/>
    </row>
    <row r="112" spans="1:7">
      <c r="B112" s="5" t="str">
        <f>'1,1'!B36</f>
        <v>Sastādīja:</v>
      </c>
    </row>
    <row r="113" spans="2:4" ht="14.25" customHeight="1">
      <c r="C113" s="33" t="str">
        <f>'1,1'!C37</f>
        <v>Arnis Gailītis</v>
      </c>
    </row>
    <row r="114" spans="2:4">
      <c r="C114" s="34" t="str">
        <f>'1,1'!C38</f>
        <v>Sertifikāta Nr.20-5643</v>
      </c>
      <c r="D114" s="35"/>
    </row>
    <row r="117" spans="2:4">
      <c r="B117" s="40" t="str">
        <f>'1,1'!B41</f>
        <v>Pārbaudīja:</v>
      </c>
      <c r="C117" s="3"/>
    </row>
    <row r="118" spans="2:4">
      <c r="B118" s="2"/>
      <c r="C118" s="33" t="str">
        <f>'1,1'!C42</f>
        <v>Aivars Mauriņš</v>
      </c>
    </row>
    <row r="119" spans="2:4">
      <c r="B119" s="1"/>
      <c r="C119" s="34" t="str">
        <f>'1,1'!C43</f>
        <v>Sertifikāta Nr.20-5957</v>
      </c>
    </row>
  </sheetData>
  <mergeCells count="15">
    <mergeCell ref="A110:G110"/>
    <mergeCell ref="A109:G10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33"/>
  <sheetViews>
    <sheetView showZeros="0" view="pageBreakPreview" topLeftCell="A4" zoomScale="80" zoomScaleNormal="100" zoomScaleSheetLayoutView="80" workbookViewId="0">
      <selection activeCell="L23" sqref="L2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1.3</v>
      </c>
      <c r="E1" s="36"/>
      <c r="F1" s="36"/>
      <c r="G1" s="36"/>
    </row>
    <row r="2" spans="1:7" s="9" customFormat="1" ht="15">
      <c r="A2" s="549" t="str">
        <f>C13</f>
        <v>Zemes darbi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>
        <v>0</v>
      </c>
      <c r="C13" s="93" t="str">
        <f>[2]kops1!C23</f>
        <v>Zemes darbi</v>
      </c>
      <c r="D13" s="94"/>
      <c r="E13" s="95"/>
      <c r="F13" s="23"/>
      <c r="G13" s="24"/>
    </row>
    <row r="14" spans="1:7" ht="25.5">
      <c r="A14" s="147">
        <v>1</v>
      </c>
      <c r="B14" s="135" t="s">
        <v>19</v>
      </c>
      <c r="C14" s="234" t="s">
        <v>1188</v>
      </c>
      <c r="D14" s="184" t="s">
        <v>822</v>
      </c>
      <c r="E14" s="289">
        <v>1960</v>
      </c>
      <c r="F14" s="21"/>
      <c r="G14" s="22"/>
    </row>
    <row r="15" spans="1:7">
      <c r="A15" s="147">
        <v>2</v>
      </c>
      <c r="B15" s="135" t="s">
        <v>19</v>
      </c>
      <c r="C15" s="234" t="s">
        <v>823</v>
      </c>
      <c r="D15" s="184" t="s">
        <v>822</v>
      </c>
      <c r="E15" s="289">
        <v>75</v>
      </c>
      <c r="F15" s="21"/>
      <c r="G15" s="22"/>
    </row>
    <row r="16" spans="1:7" ht="25.5">
      <c r="A16" s="147">
        <v>3</v>
      </c>
      <c r="B16" s="135" t="s">
        <v>19</v>
      </c>
      <c r="C16" s="234" t="s">
        <v>824</v>
      </c>
      <c r="D16" s="184" t="s">
        <v>822</v>
      </c>
      <c r="E16" s="289">
        <v>350</v>
      </c>
      <c r="F16" s="21"/>
      <c r="G16" s="22"/>
    </row>
    <row r="17" spans="1:7" ht="25.5">
      <c r="A17" s="147">
        <v>4</v>
      </c>
      <c r="B17" s="135" t="s">
        <v>19</v>
      </c>
      <c r="C17" s="300" t="s">
        <v>825</v>
      </c>
      <c r="D17" s="184" t="s">
        <v>822</v>
      </c>
      <c r="E17" s="289">
        <v>42</v>
      </c>
      <c r="F17" s="21"/>
      <c r="G17" s="22"/>
    </row>
    <row r="18" spans="1:7">
      <c r="A18" s="147">
        <v>5</v>
      </c>
      <c r="B18" s="135" t="s">
        <v>19</v>
      </c>
      <c r="C18" s="300" t="s">
        <v>1189</v>
      </c>
      <c r="D18" s="184" t="s">
        <v>822</v>
      </c>
      <c r="E18" s="289">
        <v>2035</v>
      </c>
      <c r="F18" s="21"/>
      <c r="G18" s="22"/>
    </row>
    <row r="19" spans="1:7" s="17" customFormat="1">
      <c r="A19" s="28"/>
      <c r="B19" s="29"/>
      <c r="C19" s="30"/>
      <c r="D19" s="31"/>
      <c r="E19" s="12"/>
      <c r="F19" s="12"/>
      <c r="G19" s="32"/>
    </row>
    <row r="20" spans="1:7" ht="15">
      <c r="A20" s="13"/>
      <c r="B20" s="13"/>
      <c r="C20" s="18"/>
      <c r="D20" s="19"/>
      <c r="E20" s="18"/>
      <c r="F20" s="18" t="s">
        <v>6</v>
      </c>
      <c r="G20" s="20"/>
    </row>
    <row r="22" spans="1:7" s="25" customFormat="1" ht="12.75" customHeight="1">
      <c r="B22" s="26" t="str">
        <f>'1,1'!B32</f>
        <v>Piezīmes:</v>
      </c>
    </row>
    <row r="23" spans="1:7" s="25" customFormat="1" ht="45" customHeight="1">
      <c r="A23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23" s="546"/>
      <c r="C23" s="546"/>
      <c r="D23" s="546"/>
      <c r="E23" s="546"/>
      <c r="F23" s="546"/>
      <c r="G23" s="546"/>
    </row>
    <row r="24" spans="1:7" s="25" customFormat="1" ht="12.75" customHeight="1">
      <c r="A24" s="546">
        <f>'1,1'!$A$34</f>
        <v>0</v>
      </c>
      <c r="B24" s="546"/>
      <c r="C24" s="546"/>
      <c r="D24" s="546"/>
      <c r="E24" s="546"/>
      <c r="F24" s="546"/>
      <c r="G24" s="546"/>
    </row>
    <row r="25" spans="1:7" s="25" customFormat="1" ht="12.75" customHeight="1">
      <c r="B25" s="27"/>
    </row>
    <row r="26" spans="1:7">
      <c r="B26" s="5" t="str">
        <f>'1,1'!B36</f>
        <v>Sastādīja:</v>
      </c>
    </row>
    <row r="27" spans="1:7" ht="14.25" customHeight="1">
      <c r="C27" s="33" t="str">
        <f>'1,1'!C37</f>
        <v>Arnis Gailītis</v>
      </c>
    </row>
    <row r="28" spans="1:7">
      <c r="C28" s="34" t="str">
        <f>'1,1'!C38</f>
        <v>Sertifikāta Nr.20-5643</v>
      </c>
      <c r="D28" s="35"/>
    </row>
    <row r="31" spans="1:7">
      <c r="B31" s="40" t="str">
        <f>'1,1'!B41</f>
        <v>Pārbaudīja:</v>
      </c>
      <c r="C31" s="3"/>
    </row>
    <row r="32" spans="1:7">
      <c r="B32" s="2"/>
      <c r="C32" s="33" t="str">
        <f>'1,1'!C42</f>
        <v>Aivars Mauriņš</v>
      </c>
    </row>
    <row r="33" spans="2:3">
      <c r="B33" s="1"/>
      <c r="C33" s="34" t="str">
        <f>'1,1'!C43</f>
        <v>Sertifikāta Nr.20-5957</v>
      </c>
    </row>
  </sheetData>
  <mergeCells count="15">
    <mergeCell ref="A24:G24"/>
    <mergeCell ref="A23:G23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showZeros="0" view="pageBreakPreview" topLeftCell="A19" zoomScale="80" zoomScaleNormal="100" zoomScaleSheetLayoutView="80" workbookViewId="0">
      <selection activeCell="G46" sqref="G46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4.0999999999999996</v>
      </c>
      <c r="E1" s="36"/>
      <c r="F1" s="36"/>
      <c r="G1" s="36"/>
    </row>
    <row r="2" spans="1:7" s="9" customFormat="1" ht="15">
      <c r="A2" s="549" t="str">
        <f>C13</f>
        <v>Teritorijas labiekārtošana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62" t="str">
        <f>'1,1'!C5</f>
        <v>Filozofu iela 50, Jelgava</v>
      </c>
      <c r="D5" s="562"/>
      <c r="E5" s="562"/>
      <c r="F5" s="562"/>
      <c r="G5" s="562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45"/>
      <c r="B13" s="54"/>
      <c r="C13" s="44" t="str">
        <f>[3]kops4!C21</f>
        <v>Teritorijas labiekārtošana</v>
      </c>
      <c r="D13" s="47"/>
      <c r="E13" s="48"/>
      <c r="F13" s="23"/>
      <c r="G13" s="24"/>
    </row>
    <row r="14" spans="1:7" ht="15">
      <c r="A14" s="49">
        <v>1</v>
      </c>
      <c r="B14" s="38" t="s">
        <v>702</v>
      </c>
      <c r="C14" s="50" t="s">
        <v>703</v>
      </c>
      <c r="D14" s="51" t="s">
        <v>44</v>
      </c>
      <c r="E14" s="56">
        <v>1</v>
      </c>
      <c r="F14" s="21"/>
      <c r="G14" s="22"/>
    </row>
    <row r="15" spans="1:7" ht="25.5">
      <c r="A15" s="49">
        <v>2</v>
      </c>
      <c r="B15" s="38" t="s">
        <v>704</v>
      </c>
      <c r="C15" s="50" t="s">
        <v>705</v>
      </c>
      <c r="D15" s="51" t="s">
        <v>399</v>
      </c>
      <c r="E15" s="56">
        <v>755</v>
      </c>
      <c r="F15" s="21"/>
      <c r="G15" s="22"/>
    </row>
    <row r="16" spans="1:7" ht="25.5">
      <c r="A16" s="49">
        <v>3</v>
      </c>
      <c r="B16" s="38" t="s">
        <v>704</v>
      </c>
      <c r="C16" s="50" t="s">
        <v>706</v>
      </c>
      <c r="D16" s="51" t="s">
        <v>33</v>
      </c>
      <c r="E16" s="56">
        <v>266</v>
      </c>
      <c r="F16" s="21"/>
      <c r="G16" s="22"/>
    </row>
    <row r="17" spans="1:7" ht="25.5">
      <c r="A17" s="49">
        <v>4</v>
      </c>
      <c r="B17" s="38" t="s">
        <v>704</v>
      </c>
      <c r="C17" s="50" t="s">
        <v>707</v>
      </c>
      <c r="D17" s="51" t="s">
        <v>399</v>
      </c>
      <c r="E17" s="56">
        <v>755</v>
      </c>
      <c r="F17" s="21"/>
      <c r="G17" s="22"/>
    </row>
    <row r="18" spans="1:7" ht="25.5">
      <c r="A18" s="49">
        <v>5</v>
      </c>
      <c r="B18" s="38" t="s">
        <v>19</v>
      </c>
      <c r="C18" s="50" t="s">
        <v>708</v>
      </c>
      <c r="D18" s="51" t="s">
        <v>321</v>
      </c>
      <c r="E18" s="56">
        <v>10</v>
      </c>
      <c r="F18" s="21"/>
      <c r="G18" s="22"/>
    </row>
    <row r="19" spans="1:7" ht="15">
      <c r="A19" s="49"/>
      <c r="B19" s="38"/>
      <c r="C19" s="55" t="s">
        <v>709</v>
      </c>
      <c r="D19" s="51"/>
      <c r="E19" s="56"/>
      <c r="F19" s="21"/>
      <c r="G19" s="22"/>
    </row>
    <row r="20" spans="1:7" ht="25.5">
      <c r="A20" s="57">
        <v>1</v>
      </c>
      <c r="B20" s="58" t="s">
        <v>19</v>
      </c>
      <c r="C20" s="59" t="s">
        <v>710</v>
      </c>
      <c r="D20" s="60" t="s">
        <v>711</v>
      </c>
      <c r="E20" s="61">
        <f>E41+E33+E28+E42</f>
        <v>3037</v>
      </c>
      <c r="F20" s="21"/>
      <c r="G20" s="22"/>
    </row>
    <row r="21" spans="1:7">
      <c r="A21" s="57">
        <v>2</v>
      </c>
      <c r="B21" s="58" t="s">
        <v>19</v>
      </c>
      <c r="C21" s="59" t="s">
        <v>712</v>
      </c>
      <c r="D21" s="60" t="s">
        <v>711</v>
      </c>
      <c r="E21" s="61">
        <f>E20</f>
        <v>3037</v>
      </c>
      <c r="F21" s="21"/>
      <c r="G21" s="22"/>
    </row>
    <row r="22" spans="1:7" ht="38.25">
      <c r="A22" s="57">
        <v>3</v>
      </c>
      <c r="B22" s="58" t="s">
        <v>19</v>
      </c>
      <c r="C22" s="59" t="s">
        <v>1334</v>
      </c>
      <c r="D22" s="60" t="s">
        <v>822</v>
      </c>
      <c r="E22" s="61">
        <v>420</v>
      </c>
      <c r="F22" s="21"/>
      <c r="G22" s="22"/>
    </row>
    <row r="23" spans="1:7" ht="15">
      <c r="A23" s="49"/>
      <c r="B23" s="38"/>
      <c r="C23" s="55" t="s">
        <v>713</v>
      </c>
      <c r="D23" s="51"/>
      <c r="E23" s="56"/>
      <c r="F23" s="21"/>
      <c r="G23" s="22"/>
    </row>
    <row r="24" spans="1:7" ht="15">
      <c r="A24" s="49"/>
      <c r="B24" s="38"/>
      <c r="C24" s="62" t="s">
        <v>714</v>
      </c>
      <c r="D24" s="51"/>
      <c r="E24" s="56"/>
      <c r="F24" s="21"/>
      <c r="G24" s="22"/>
    </row>
    <row r="25" spans="1:7" ht="25.5">
      <c r="A25" s="49">
        <v>1</v>
      </c>
      <c r="B25" s="38" t="s">
        <v>702</v>
      </c>
      <c r="C25" s="50" t="s">
        <v>715</v>
      </c>
      <c r="D25" s="51" t="s">
        <v>716</v>
      </c>
      <c r="E25" s="56">
        <f>0.3*E28</f>
        <v>150.9</v>
      </c>
      <c r="F25" s="21"/>
      <c r="G25" s="22"/>
    </row>
    <row r="26" spans="1:7" ht="25.5">
      <c r="A26" s="49">
        <v>2</v>
      </c>
      <c r="B26" s="38" t="s">
        <v>702</v>
      </c>
      <c r="C26" s="50" t="s">
        <v>717</v>
      </c>
      <c r="D26" s="51" t="s">
        <v>716</v>
      </c>
      <c r="E26" s="56">
        <f>0.15*E28</f>
        <v>75.45</v>
      </c>
      <c r="F26" s="21"/>
      <c r="G26" s="22"/>
    </row>
    <row r="27" spans="1:7" ht="15">
      <c r="A27" s="49">
        <v>3</v>
      </c>
      <c r="B27" s="38" t="s">
        <v>702</v>
      </c>
      <c r="C27" s="50" t="s">
        <v>718</v>
      </c>
      <c r="D27" s="51" t="s">
        <v>716</v>
      </c>
      <c r="E27" s="56">
        <f>0.05*E28</f>
        <v>25.150000000000002</v>
      </c>
      <c r="F27" s="21"/>
      <c r="G27" s="22"/>
    </row>
    <row r="28" spans="1:7" ht="25.5">
      <c r="A28" s="49">
        <v>4</v>
      </c>
      <c r="B28" s="38" t="s">
        <v>702</v>
      </c>
      <c r="C28" s="50" t="s">
        <v>719</v>
      </c>
      <c r="D28" s="51" t="s">
        <v>399</v>
      </c>
      <c r="E28" s="56">
        <v>503</v>
      </c>
      <c r="F28" s="21"/>
      <c r="G28" s="22"/>
    </row>
    <row r="29" spans="1:7" ht="15">
      <c r="A29" s="49"/>
      <c r="B29" s="38"/>
      <c r="C29" s="62" t="s">
        <v>720</v>
      </c>
      <c r="D29" s="63"/>
      <c r="E29" s="56"/>
      <c r="F29" s="21"/>
      <c r="G29" s="22"/>
    </row>
    <row r="30" spans="1:7" ht="25.5">
      <c r="A30" s="64">
        <v>1</v>
      </c>
      <c r="B30" s="65" t="s">
        <v>702</v>
      </c>
      <c r="C30" s="66" t="s">
        <v>721</v>
      </c>
      <c r="D30" s="63" t="s">
        <v>716</v>
      </c>
      <c r="E30" s="56">
        <f>0.5*E32</f>
        <v>670</v>
      </c>
      <c r="F30" s="21"/>
      <c r="G30" s="22"/>
    </row>
    <row r="31" spans="1:7" ht="25.5">
      <c r="A31" s="64">
        <v>2</v>
      </c>
      <c r="B31" s="65" t="s">
        <v>702</v>
      </c>
      <c r="C31" s="66" t="s">
        <v>722</v>
      </c>
      <c r="D31" s="63" t="s">
        <v>716</v>
      </c>
      <c r="E31" s="56">
        <f>0.25*E32</f>
        <v>335</v>
      </c>
      <c r="F31" s="21"/>
      <c r="G31" s="22"/>
    </row>
    <row r="32" spans="1:7" ht="25.5">
      <c r="A32" s="64">
        <v>3</v>
      </c>
      <c r="B32" s="65" t="s">
        <v>702</v>
      </c>
      <c r="C32" s="66" t="s">
        <v>723</v>
      </c>
      <c r="D32" s="63" t="s">
        <v>399</v>
      </c>
      <c r="E32" s="56">
        <v>1340</v>
      </c>
      <c r="F32" s="21"/>
      <c r="G32" s="22"/>
    </row>
    <row r="33" spans="1:7" ht="25.5">
      <c r="A33" s="64">
        <v>4</v>
      </c>
      <c r="B33" s="65" t="s">
        <v>702</v>
      </c>
      <c r="C33" s="66" t="s">
        <v>724</v>
      </c>
      <c r="D33" s="63" t="s">
        <v>399</v>
      </c>
      <c r="E33" s="56">
        <v>1340</v>
      </c>
      <c r="F33" s="21"/>
      <c r="G33" s="22"/>
    </row>
    <row r="34" spans="1:7" ht="15">
      <c r="A34" s="49"/>
      <c r="B34" s="38"/>
      <c r="C34" s="62" t="s">
        <v>725</v>
      </c>
      <c r="D34" s="63"/>
      <c r="E34" s="56"/>
      <c r="F34" s="21"/>
      <c r="G34" s="22"/>
    </row>
    <row r="35" spans="1:7" ht="15">
      <c r="A35" s="64">
        <v>1</v>
      </c>
      <c r="B35" s="65" t="s">
        <v>673</v>
      </c>
      <c r="C35" s="66" t="s">
        <v>726</v>
      </c>
      <c r="D35" s="63" t="s">
        <v>399</v>
      </c>
      <c r="E35" s="56">
        <v>70</v>
      </c>
      <c r="F35" s="21"/>
      <c r="G35" s="22"/>
    </row>
    <row r="36" spans="1:7" ht="25.5">
      <c r="A36" s="64">
        <v>2</v>
      </c>
      <c r="B36" s="65" t="s">
        <v>702</v>
      </c>
      <c r="C36" s="66" t="s">
        <v>724</v>
      </c>
      <c r="D36" s="63" t="s">
        <v>399</v>
      </c>
      <c r="E36" s="56">
        <v>70</v>
      </c>
      <c r="F36" s="21"/>
      <c r="G36" s="22"/>
    </row>
    <row r="37" spans="1:7" ht="15">
      <c r="A37" s="49"/>
      <c r="B37" s="38"/>
      <c r="C37" s="62" t="s">
        <v>727</v>
      </c>
      <c r="D37" s="51"/>
      <c r="E37" s="56"/>
      <c r="F37" s="21"/>
      <c r="G37" s="22"/>
    </row>
    <row r="38" spans="1:7" ht="25.5">
      <c r="A38" s="49">
        <v>1</v>
      </c>
      <c r="B38" s="38" t="s">
        <v>702</v>
      </c>
      <c r="C38" s="50" t="s">
        <v>728</v>
      </c>
      <c r="D38" s="51" t="s">
        <v>33</v>
      </c>
      <c r="E38" s="56">
        <v>286</v>
      </c>
      <c r="F38" s="21"/>
      <c r="G38" s="22"/>
    </row>
    <row r="39" spans="1:7" ht="25.5">
      <c r="A39" s="49">
        <v>2</v>
      </c>
      <c r="B39" s="38" t="s">
        <v>702</v>
      </c>
      <c r="C39" s="50" t="s">
        <v>729</v>
      </c>
      <c r="D39" s="51" t="s">
        <v>33</v>
      </c>
      <c r="E39" s="56">
        <v>125</v>
      </c>
      <c r="F39" s="21"/>
      <c r="G39" s="22"/>
    </row>
    <row r="40" spans="1:7" ht="15">
      <c r="A40" s="49"/>
      <c r="B40" s="38"/>
      <c r="C40" s="67" t="s">
        <v>730</v>
      </c>
      <c r="D40" s="51"/>
      <c r="E40" s="56"/>
      <c r="F40" s="21"/>
      <c r="G40" s="22"/>
    </row>
    <row r="41" spans="1:7" ht="15">
      <c r="A41" s="49">
        <v>1</v>
      </c>
      <c r="B41" s="38" t="s">
        <v>702</v>
      </c>
      <c r="C41" s="50" t="s">
        <v>731</v>
      </c>
      <c r="D41" s="51" t="s">
        <v>711</v>
      </c>
      <c r="E41" s="56">
        <f>1194-60</f>
        <v>1134</v>
      </c>
      <c r="F41" s="21"/>
      <c r="G41" s="22"/>
    </row>
    <row r="42" spans="1:7" ht="15">
      <c r="A42" s="49">
        <v>2</v>
      </c>
      <c r="B42" s="38" t="s">
        <v>702</v>
      </c>
      <c r="C42" s="50" t="s">
        <v>732</v>
      </c>
      <c r="D42" s="51" t="s">
        <v>711</v>
      </c>
      <c r="E42" s="56">
        <v>60</v>
      </c>
      <c r="F42" s="21"/>
      <c r="G42" s="22"/>
    </row>
    <row r="43" spans="1:7" ht="27" customHeight="1">
      <c r="A43" s="504"/>
      <c r="B43" s="505"/>
      <c r="C43" s="493"/>
      <c r="D43" s="506"/>
      <c r="E43" s="507"/>
      <c r="F43" s="21"/>
      <c r="G43" s="22"/>
    </row>
    <row r="44" spans="1:7" ht="15">
      <c r="A44" s="49">
        <v>4</v>
      </c>
      <c r="B44" s="38" t="s">
        <v>673</v>
      </c>
      <c r="C44" s="50" t="s">
        <v>733</v>
      </c>
      <c r="D44" s="51" t="s">
        <v>38</v>
      </c>
      <c r="E44" s="56">
        <f>SUM(E45:E49)</f>
        <v>12</v>
      </c>
      <c r="F44" s="21"/>
      <c r="G44" s="22"/>
    </row>
    <row r="45" spans="1:7" ht="15">
      <c r="A45" s="49"/>
      <c r="B45" s="38"/>
      <c r="C45" s="68" t="s">
        <v>734</v>
      </c>
      <c r="D45" s="51" t="s">
        <v>38</v>
      </c>
      <c r="E45" s="56">
        <v>5</v>
      </c>
      <c r="F45" s="21"/>
      <c r="G45" s="22"/>
    </row>
    <row r="46" spans="1:7" ht="15">
      <c r="A46" s="49"/>
      <c r="B46" s="38"/>
      <c r="C46" s="68" t="s">
        <v>735</v>
      </c>
      <c r="D46" s="51" t="s">
        <v>38</v>
      </c>
      <c r="E46" s="56">
        <v>1</v>
      </c>
      <c r="F46" s="21"/>
      <c r="G46" s="22"/>
    </row>
    <row r="47" spans="1:7" ht="15">
      <c r="A47" s="49"/>
      <c r="B47" s="38"/>
      <c r="C47" s="68" t="s">
        <v>736</v>
      </c>
      <c r="D47" s="51" t="s">
        <v>38</v>
      </c>
      <c r="E47" s="56">
        <v>3</v>
      </c>
      <c r="F47" s="21"/>
      <c r="G47" s="22"/>
    </row>
    <row r="48" spans="1:7" ht="15">
      <c r="A48" s="49"/>
      <c r="B48" s="38"/>
      <c r="C48" s="68" t="s">
        <v>737</v>
      </c>
      <c r="D48" s="51" t="s">
        <v>38</v>
      </c>
      <c r="E48" s="56">
        <v>2</v>
      </c>
      <c r="F48" s="21"/>
      <c r="G48" s="22"/>
    </row>
    <row r="49" spans="1:7" ht="15">
      <c r="A49" s="49"/>
      <c r="B49" s="38"/>
      <c r="C49" s="68" t="s">
        <v>738</v>
      </c>
      <c r="D49" s="51" t="s">
        <v>38</v>
      </c>
      <c r="E49" s="56">
        <v>1</v>
      </c>
      <c r="F49" s="21"/>
      <c r="G49" s="22"/>
    </row>
    <row r="50" spans="1:7" ht="15">
      <c r="A50" s="49"/>
      <c r="B50" s="38"/>
      <c r="C50" s="69" t="s">
        <v>739</v>
      </c>
      <c r="D50" s="51" t="s">
        <v>38</v>
      </c>
      <c r="E50" s="56">
        <f>E44</f>
        <v>12</v>
      </c>
      <c r="F50" s="21"/>
      <c r="G50" s="22"/>
    </row>
    <row r="51" spans="1:7" ht="15">
      <c r="A51" s="49"/>
      <c r="B51" s="38"/>
      <c r="C51" s="70" t="s">
        <v>740</v>
      </c>
      <c r="D51" s="51"/>
      <c r="E51" s="56"/>
      <c r="F51" s="21"/>
      <c r="G51" s="22"/>
    </row>
    <row r="52" spans="1:7" ht="25.5">
      <c r="A52" s="49">
        <v>1</v>
      </c>
      <c r="B52" s="38" t="s">
        <v>702</v>
      </c>
      <c r="C52" s="66" t="s">
        <v>741</v>
      </c>
      <c r="D52" s="51" t="s">
        <v>33</v>
      </c>
      <c r="E52" s="56">
        <v>145</v>
      </c>
      <c r="F52" s="21"/>
      <c r="G52" s="22"/>
    </row>
    <row r="53" spans="1:7" ht="15">
      <c r="A53" s="49">
        <v>2</v>
      </c>
      <c r="B53" s="38" t="s">
        <v>702</v>
      </c>
      <c r="C53" s="66" t="s">
        <v>742</v>
      </c>
      <c r="D53" s="51" t="s">
        <v>321</v>
      </c>
      <c r="E53" s="56">
        <v>2</v>
      </c>
      <c r="F53" s="21"/>
      <c r="G53" s="22"/>
    </row>
    <row r="54" spans="1:7" ht="15">
      <c r="A54" s="49">
        <v>3</v>
      </c>
      <c r="B54" s="38" t="s">
        <v>702</v>
      </c>
      <c r="C54" s="50" t="s">
        <v>759</v>
      </c>
      <c r="D54" s="51" t="s">
        <v>321</v>
      </c>
      <c r="E54" s="56">
        <v>4</v>
      </c>
      <c r="F54" s="21"/>
      <c r="G54" s="22"/>
    </row>
    <row r="55" spans="1:7" ht="15">
      <c r="A55" s="49">
        <v>4</v>
      </c>
      <c r="B55" s="38" t="s">
        <v>702</v>
      </c>
      <c r="C55" s="50" t="s">
        <v>760</v>
      </c>
      <c r="D55" s="51" t="s">
        <v>321</v>
      </c>
      <c r="E55" s="56">
        <v>3</v>
      </c>
      <c r="F55" s="21"/>
      <c r="G55" s="22"/>
    </row>
    <row r="56" spans="1:7" s="17" customFormat="1">
      <c r="A56" s="28"/>
      <c r="B56" s="29"/>
      <c r="C56" s="30"/>
      <c r="D56" s="31"/>
      <c r="E56" s="12"/>
      <c r="F56" s="12"/>
      <c r="G56" s="32"/>
    </row>
    <row r="57" spans="1:7" ht="15">
      <c r="A57" s="13"/>
      <c r="B57" s="13"/>
      <c r="C57" s="18"/>
      <c r="D57" s="19"/>
      <c r="E57" s="18"/>
      <c r="F57" s="18" t="s">
        <v>6</v>
      </c>
      <c r="G57" s="20"/>
    </row>
    <row r="59" spans="1:7" s="25" customFormat="1" ht="12.75" customHeight="1">
      <c r="B59" s="26" t="str">
        <f>'1,1'!B32</f>
        <v>Piezīmes:</v>
      </c>
    </row>
    <row r="60" spans="1:7" s="25" customFormat="1" ht="45" customHeight="1">
      <c r="A60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60" s="546"/>
      <c r="C60" s="546"/>
      <c r="D60" s="546"/>
      <c r="E60" s="546"/>
      <c r="F60" s="546"/>
      <c r="G60" s="546"/>
    </row>
    <row r="61" spans="1:7" s="25" customFormat="1" ht="12.75" customHeight="1">
      <c r="A61" s="546">
        <f>'1,1'!$A$34</f>
        <v>0</v>
      </c>
      <c r="B61" s="546"/>
      <c r="C61" s="546"/>
      <c r="D61" s="546"/>
      <c r="E61" s="546"/>
      <c r="F61" s="546"/>
      <c r="G61" s="546"/>
    </row>
    <row r="62" spans="1:7" s="25" customFormat="1" ht="12.75" customHeight="1">
      <c r="B62" s="27"/>
    </row>
    <row r="63" spans="1:7">
      <c r="B63" s="5" t="str">
        <f>'1,1'!B36</f>
        <v>Sastādīja:</v>
      </c>
    </row>
    <row r="64" spans="1:7" ht="14.25" customHeight="1">
      <c r="C64" s="33" t="str">
        <f>'1,1'!C37</f>
        <v>Arnis Gailītis</v>
      </c>
    </row>
    <row r="65" spans="2:4">
      <c r="C65" s="34" t="str">
        <f>'1,1'!C38</f>
        <v>Sertifikāta Nr.20-5643</v>
      </c>
      <c r="D65" s="35"/>
    </row>
    <row r="68" spans="2:4">
      <c r="B68" s="40" t="str">
        <f>'1,1'!B41</f>
        <v>Pārbaudīja:</v>
      </c>
      <c r="C68" s="3"/>
    </row>
    <row r="69" spans="2:4">
      <c r="B69" s="2"/>
      <c r="C69" s="33" t="str">
        <f>'1,1'!C42</f>
        <v>Aivars Mauriņš</v>
      </c>
    </row>
    <row r="70" spans="2:4">
      <c r="B70" s="1"/>
      <c r="C70" s="34" t="str">
        <f>'1,1'!C43</f>
        <v>Sertifikāta Nr.20-5957</v>
      </c>
    </row>
  </sheetData>
  <mergeCells count="15">
    <mergeCell ref="A61:G61"/>
    <mergeCell ref="A60:G6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4"/>
  <sheetViews>
    <sheetView showZeros="0" view="pageBreakPreview" topLeftCell="A22" zoomScale="80" zoomScaleNormal="100" zoomScaleSheetLayoutView="80" workbookViewId="0">
      <selection activeCell="G34" sqref="G34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5" width="11.7109375" style="5" customWidth="1"/>
    <col min="6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1.4</v>
      </c>
      <c r="E1" s="36"/>
      <c r="F1" s="36"/>
      <c r="G1" s="36"/>
    </row>
    <row r="2" spans="1:7" s="9" customFormat="1" ht="15">
      <c r="A2" s="549" t="str">
        <f>C13</f>
        <v>Pamati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>
        <v>0</v>
      </c>
      <c r="C13" s="93" t="str">
        <f>[2]kops1!C24</f>
        <v>Pamati</v>
      </c>
      <c r="D13" s="94"/>
      <c r="E13" s="95"/>
      <c r="F13" s="23"/>
      <c r="G13" s="24"/>
    </row>
    <row r="14" spans="1:7">
      <c r="A14" s="147">
        <v>0</v>
      </c>
      <c r="B14" s="135"/>
      <c r="C14" s="290" t="s">
        <v>826</v>
      </c>
      <c r="D14" s="291"/>
      <c r="E14" s="289"/>
      <c r="F14" s="21"/>
      <c r="G14" s="22"/>
    </row>
    <row r="15" spans="1:7">
      <c r="A15" s="147">
        <v>0</v>
      </c>
      <c r="B15" s="135"/>
      <c r="C15" s="290" t="s">
        <v>827</v>
      </c>
      <c r="D15" s="176"/>
      <c r="E15" s="301"/>
      <c r="F15" s="21"/>
      <c r="G15" s="22"/>
    </row>
    <row r="16" spans="1:7" ht="76.5">
      <c r="A16" s="147">
        <v>1</v>
      </c>
      <c r="B16" s="135" t="s">
        <v>746</v>
      </c>
      <c r="C16" s="127" t="s">
        <v>828</v>
      </c>
      <c r="D16" s="297" t="s">
        <v>321</v>
      </c>
      <c r="E16" s="289">
        <v>76</v>
      </c>
      <c r="F16" s="21"/>
      <c r="G16" s="22"/>
    </row>
    <row r="17" spans="1:7">
      <c r="A17" s="147">
        <v>0</v>
      </c>
      <c r="B17" s="135"/>
      <c r="C17" s="302" t="s">
        <v>829</v>
      </c>
      <c r="D17" s="303"/>
      <c r="E17" s="304"/>
      <c r="F17" s="21"/>
      <c r="G17" s="22"/>
    </row>
    <row r="18" spans="1:7">
      <c r="A18" s="147">
        <v>2</v>
      </c>
      <c r="B18" s="135" t="s">
        <v>19</v>
      </c>
      <c r="C18" s="151" t="s">
        <v>830</v>
      </c>
      <c r="D18" s="294" t="s">
        <v>716</v>
      </c>
      <c r="E18" s="294">
        <v>26</v>
      </c>
      <c r="F18" s="21"/>
      <c r="G18" s="22"/>
    </row>
    <row r="19" spans="1:7">
      <c r="A19" s="147">
        <v>0</v>
      </c>
      <c r="B19" s="135"/>
      <c r="C19" s="305" t="s">
        <v>831</v>
      </c>
      <c r="D19" s="465" t="s">
        <v>822</v>
      </c>
      <c r="E19" s="297">
        <f>E18*1.1</f>
        <v>28.6</v>
      </c>
      <c r="F19" s="21"/>
      <c r="G19" s="22"/>
    </row>
    <row r="20" spans="1:7" ht="38.25">
      <c r="A20" s="147">
        <v>3</v>
      </c>
      <c r="B20" s="135" t="s">
        <v>746</v>
      </c>
      <c r="C20" s="127" t="s">
        <v>832</v>
      </c>
      <c r="D20" s="184" t="s">
        <v>399</v>
      </c>
      <c r="E20" s="278">
        <v>339</v>
      </c>
      <c r="F20" s="21"/>
      <c r="G20" s="22"/>
    </row>
    <row r="21" spans="1:7">
      <c r="A21" s="147">
        <v>0</v>
      </c>
      <c r="B21" s="135"/>
      <c r="C21" s="305" t="s">
        <v>833</v>
      </c>
      <c r="D21" s="297" t="s">
        <v>399</v>
      </c>
      <c r="E21" s="306">
        <f>E20</f>
        <v>339</v>
      </c>
      <c r="F21" s="21"/>
      <c r="G21" s="22"/>
    </row>
    <row r="22" spans="1:7" ht="25.5">
      <c r="A22" s="147">
        <v>0</v>
      </c>
      <c r="B22" s="135"/>
      <c r="C22" s="307" t="s">
        <v>834</v>
      </c>
      <c r="D22" s="297" t="s">
        <v>399</v>
      </c>
      <c r="E22" s="308">
        <f>E20</f>
        <v>339</v>
      </c>
      <c r="F22" s="21"/>
      <c r="G22" s="22"/>
    </row>
    <row r="23" spans="1:7" ht="25.5">
      <c r="A23" s="147">
        <v>4</v>
      </c>
      <c r="B23" s="135" t="s">
        <v>746</v>
      </c>
      <c r="C23" s="127" t="s">
        <v>1190</v>
      </c>
      <c r="D23" s="184" t="s">
        <v>399</v>
      </c>
      <c r="E23" s="278">
        <v>55</v>
      </c>
      <c r="F23" s="21"/>
      <c r="G23" s="22"/>
    </row>
    <row r="24" spans="1:7" ht="102">
      <c r="A24" s="147">
        <v>5</v>
      </c>
      <c r="B24" s="135" t="s">
        <v>746</v>
      </c>
      <c r="C24" s="127" t="s">
        <v>835</v>
      </c>
      <c r="D24" s="201" t="s">
        <v>107</v>
      </c>
      <c r="E24" s="294">
        <v>10495</v>
      </c>
      <c r="F24" s="21"/>
      <c r="G24" s="22"/>
    </row>
    <row r="25" spans="1:7">
      <c r="A25" s="147">
        <v>0</v>
      </c>
      <c r="B25" s="135"/>
      <c r="C25" s="309" t="s">
        <v>836</v>
      </c>
      <c r="D25" s="201" t="s">
        <v>107</v>
      </c>
      <c r="E25" s="201">
        <f>5525*1.15</f>
        <v>6353.7499999999991</v>
      </c>
      <c r="F25" s="21"/>
      <c r="G25" s="22"/>
    </row>
    <row r="26" spans="1:7">
      <c r="A26" s="147">
        <v>0</v>
      </c>
      <c r="B26" s="135"/>
      <c r="C26" s="309" t="s">
        <v>837</v>
      </c>
      <c r="D26" s="201" t="s">
        <v>107</v>
      </c>
      <c r="E26" s="201">
        <f>4970*1.15</f>
        <v>5715.5</v>
      </c>
      <c r="F26" s="21"/>
      <c r="G26" s="22"/>
    </row>
    <row r="27" spans="1:7">
      <c r="A27" s="134">
        <v>0</v>
      </c>
      <c r="B27" s="135"/>
      <c r="C27" s="309" t="s">
        <v>838</v>
      </c>
      <c r="D27" s="201" t="s">
        <v>107</v>
      </c>
      <c r="E27" s="201">
        <f>155*1.15</f>
        <v>178.25</v>
      </c>
      <c r="F27" s="21"/>
      <c r="G27" s="22"/>
    </row>
    <row r="28" spans="1:7" ht="25.5">
      <c r="A28" s="147">
        <v>0</v>
      </c>
      <c r="B28" s="135"/>
      <c r="C28" s="310" t="s">
        <v>839</v>
      </c>
      <c r="D28" s="297" t="s">
        <v>44</v>
      </c>
      <c r="E28" s="184">
        <v>1</v>
      </c>
      <c r="F28" s="21"/>
      <c r="G28" s="22"/>
    </row>
    <row r="29" spans="1:7" ht="38.25">
      <c r="A29" s="147">
        <v>6</v>
      </c>
      <c r="B29" s="135" t="s">
        <v>746</v>
      </c>
      <c r="C29" s="127" t="s">
        <v>840</v>
      </c>
      <c r="D29" s="201" t="s">
        <v>716</v>
      </c>
      <c r="E29" s="278">
        <v>13</v>
      </c>
      <c r="F29" s="21"/>
      <c r="G29" s="22"/>
    </row>
    <row r="30" spans="1:7">
      <c r="A30" s="134">
        <v>0</v>
      </c>
      <c r="B30" s="135"/>
      <c r="C30" s="311" t="s">
        <v>841</v>
      </c>
      <c r="D30" s="201" t="s">
        <v>716</v>
      </c>
      <c r="E30" s="312">
        <f>E29*1.05</f>
        <v>13.65</v>
      </c>
      <c r="F30" s="21"/>
      <c r="G30" s="22"/>
    </row>
    <row r="31" spans="1:7">
      <c r="A31" s="147">
        <v>0</v>
      </c>
      <c r="B31" s="135"/>
      <c r="C31" s="311" t="s">
        <v>842</v>
      </c>
      <c r="D31" s="201" t="s">
        <v>843</v>
      </c>
      <c r="E31" s="312">
        <f>E29*0.25</f>
        <v>3.25</v>
      </c>
      <c r="F31" s="21"/>
      <c r="G31" s="22"/>
    </row>
    <row r="32" spans="1:7" ht="38.25">
      <c r="A32" s="147">
        <v>7</v>
      </c>
      <c r="B32" s="135" t="s">
        <v>746</v>
      </c>
      <c r="C32" s="127" t="s">
        <v>844</v>
      </c>
      <c r="D32" s="201" t="s">
        <v>716</v>
      </c>
      <c r="E32" s="278">
        <v>86</v>
      </c>
      <c r="F32" s="21"/>
      <c r="G32" s="22"/>
    </row>
    <row r="33" spans="1:7">
      <c r="A33" s="147">
        <v>0</v>
      </c>
      <c r="B33" s="135"/>
      <c r="C33" s="311" t="s">
        <v>845</v>
      </c>
      <c r="D33" s="201" t="s">
        <v>716</v>
      </c>
      <c r="E33" s="312">
        <f>E32*1.05</f>
        <v>90.3</v>
      </c>
      <c r="F33" s="21"/>
      <c r="G33" s="22"/>
    </row>
    <row r="34" spans="1:7">
      <c r="A34" s="147">
        <v>0</v>
      </c>
      <c r="B34" s="135"/>
      <c r="C34" s="311" t="s">
        <v>842</v>
      </c>
      <c r="D34" s="201" t="s">
        <v>843</v>
      </c>
      <c r="E34" s="312">
        <f>E32*0.25</f>
        <v>21.5</v>
      </c>
      <c r="F34" s="21"/>
      <c r="G34" s="22"/>
    </row>
    <row r="35" spans="1:7" ht="25.5">
      <c r="A35" s="147">
        <v>8</v>
      </c>
      <c r="B35" s="135" t="s">
        <v>846</v>
      </c>
      <c r="C35" s="125" t="s">
        <v>847</v>
      </c>
      <c r="D35" s="313" t="s">
        <v>399</v>
      </c>
      <c r="E35" s="313">
        <v>130</v>
      </c>
      <c r="F35" s="21"/>
      <c r="G35" s="22"/>
    </row>
    <row r="36" spans="1:7">
      <c r="A36" s="147">
        <v>9</v>
      </c>
      <c r="B36" s="135" t="s">
        <v>673</v>
      </c>
      <c r="C36" s="215" t="s">
        <v>848</v>
      </c>
      <c r="D36" s="184" t="s">
        <v>711</v>
      </c>
      <c r="E36" s="184">
        <v>123</v>
      </c>
      <c r="F36" s="21"/>
      <c r="G36" s="22"/>
    </row>
    <row r="37" spans="1:7">
      <c r="A37" s="147">
        <v>0</v>
      </c>
      <c r="B37" s="135"/>
      <c r="C37" s="311" t="s">
        <v>849</v>
      </c>
      <c r="D37" s="201" t="s">
        <v>711</v>
      </c>
      <c r="E37" s="312">
        <f>E36*1.05*2</f>
        <v>258.3</v>
      </c>
      <c r="F37" s="21"/>
      <c r="G37" s="22"/>
    </row>
    <row r="38" spans="1:7">
      <c r="A38" s="147">
        <v>0</v>
      </c>
      <c r="B38" s="135"/>
      <c r="C38" s="529" t="s">
        <v>1354</v>
      </c>
      <c r="D38" s="530" t="s">
        <v>20</v>
      </c>
      <c r="E38" s="531">
        <f>E35*6</f>
        <v>780</v>
      </c>
      <c r="F38" s="21"/>
      <c r="G38" s="22"/>
    </row>
    <row r="39" spans="1:7">
      <c r="A39" s="147">
        <v>0</v>
      </c>
      <c r="B39" s="135"/>
      <c r="C39" s="311" t="s">
        <v>298</v>
      </c>
      <c r="D39" s="201" t="s">
        <v>711</v>
      </c>
      <c r="E39" s="312">
        <f>E36</f>
        <v>123</v>
      </c>
      <c r="F39" s="21"/>
      <c r="G39" s="22"/>
    </row>
    <row r="40" spans="1:7" s="17" customFormat="1">
      <c r="A40" s="28"/>
      <c r="B40" s="29"/>
      <c r="C40" s="30"/>
      <c r="D40" s="31"/>
      <c r="E40" s="12"/>
      <c r="F40" s="12"/>
      <c r="G40" s="32"/>
    </row>
    <row r="41" spans="1:7" ht="15">
      <c r="A41" s="13"/>
      <c r="B41" s="13"/>
      <c r="C41" s="18"/>
      <c r="D41" s="19"/>
      <c r="E41" s="18"/>
      <c r="F41" s="18" t="s">
        <v>6</v>
      </c>
      <c r="G41" s="20"/>
    </row>
    <row r="43" spans="1:7" s="25" customFormat="1" ht="12.75" customHeight="1">
      <c r="B43" s="26" t="str">
        <f>'1,1'!B32</f>
        <v>Piezīmes:</v>
      </c>
    </row>
    <row r="44" spans="1:7" s="25" customFormat="1" ht="45" customHeight="1">
      <c r="A44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4" s="546"/>
      <c r="C44" s="546"/>
      <c r="D44" s="546"/>
      <c r="E44" s="546"/>
      <c r="F44" s="546"/>
      <c r="G44" s="546"/>
    </row>
    <row r="45" spans="1:7" s="25" customFormat="1" ht="12.75" customHeight="1">
      <c r="A45" s="546">
        <f>'1,1'!$A$34</f>
        <v>0</v>
      </c>
      <c r="B45" s="546"/>
      <c r="C45" s="546"/>
      <c r="D45" s="546"/>
      <c r="E45" s="546"/>
      <c r="F45" s="546"/>
      <c r="G45" s="546"/>
    </row>
    <row r="46" spans="1:7" s="25" customFormat="1" ht="12.75" customHeight="1">
      <c r="B46" s="27"/>
    </row>
    <row r="47" spans="1:7">
      <c r="B47" s="5" t="str">
        <f>'1,1'!B36</f>
        <v>Sastādīja:</v>
      </c>
    </row>
    <row r="48" spans="1:7" ht="14.25" customHeight="1">
      <c r="C48" s="33" t="str">
        <f>'1,1'!C37</f>
        <v>Arnis Gailītis</v>
      </c>
    </row>
    <row r="49" spans="2:4">
      <c r="C49" s="34" t="str">
        <f>'1,1'!C38</f>
        <v>Sertifikāta Nr.20-5643</v>
      </c>
      <c r="D49" s="35"/>
    </row>
    <row r="52" spans="2:4">
      <c r="B52" s="40" t="str">
        <f>'1,1'!B41</f>
        <v>Pārbaudīja:</v>
      </c>
      <c r="C52" s="3"/>
    </row>
    <row r="53" spans="2:4">
      <c r="B53" s="2"/>
      <c r="C53" s="33" t="str">
        <f>'1,1'!C42</f>
        <v>Aivars Mauriņš</v>
      </c>
    </row>
    <row r="54" spans="2:4">
      <c r="B54" s="1"/>
      <c r="C54" s="34" t="str">
        <f>'1,1'!C43</f>
        <v>Sertifikāta Nr.20-5957</v>
      </c>
    </row>
  </sheetData>
  <mergeCells count="15">
    <mergeCell ref="A45:G45"/>
    <mergeCell ref="A44:G44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28"/>
  <sheetViews>
    <sheetView showZeros="0" view="pageBreakPreview" topLeftCell="A16" zoomScale="80" zoomScaleNormal="100" zoomScaleSheetLayoutView="80" workbookViewId="0">
      <selection activeCell="N66" sqref="N66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1.5</v>
      </c>
      <c r="E1" s="36"/>
      <c r="F1" s="36"/>
      <c r="G1" s="36"/>
    </row>
    <row r="2" spans="1:7" s="9" customFormat="1" ht="15">
      <c r="A2" s="549" t="str">
        <f>C13</f>
        <v>Sienas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>
        <v>0</v>
      </c>
      <c r="C13" s="93" t="str">
        <f>[2]kops1!C25</f>
        <v>Sienas</v>
      </c>
      <c r="D13" s="94"/>
      <c r="E13" s="95"/>
      <c r="F13" s="23"/>
      <c r="G13" s="24"/>
    </row>
    <row r="14" spans="1:7">
      <c r="A14" s="91"/>
      <c r="B14" s="135"/>
      <c r="C14" s="314" t="s">
        <v>889</v>
      </c>
      <c r="D14" s="184"/>
      <c r="E14" s="278"/>
      <c r="F14" s="21"/>
      <c r="G14" s="22"/>
    </row>
    <row r="15" spans="1:7" ht="63.75">
      <c r="A15" s="91">
        <v>1</v>
      </c>
      <c r="B15" s="135" t="s">
        <v>890</v>
      </c>
      <c r="C15" s="315" t="s">
        <v>891</v>
      </c>
      <c r="D15" s="184" t="s">
        <v>107</v>
      </c>
      <c r="E15" s="184">
        <v>28903</v>
      </c>
      <c r="F15" s="21"/>
      <c r="G15" s="22"/>
    </row>
    <row r="16" spans="1:7">
      <c r="A16" s="91"/>
      <c r="B16" s="135"/>
      <c r="C16" s="311" t="s">
        <v>892</v>
      </c>
      <c r="D16" s="201" t="s">
        <v>107</v>
      </c>
      <c r="E16" s="312">
        <f>18993*1.1</f>
        <v>20892.300000000003</v>
      </c>
      <c r="F16" s="21"/>
      <c r="G16" s="22"/>
    </row>
    <row r="17" spans="1:7">
      <c r="A17" s="91"/>
      <c r="B17" s="135"/>
      <c r="C17" s="311" t="s">
        <v>893</v>
      </c>
      <c r="D17" s="201" t="s">
        <v>107</v>
      </c>
      <c r="E17" s="312">
        <f>4040*1.1</f>
        <v>4444</v>
      </c>
      <c r="F17" s="21"/>
      <c r="G17" s="22"/>
    </row>
    <row r="18" spans="1:7">
      <c r="A18" s="91"/>
      <c r="B18" s="135"/>
      <c r="C18" s="316" t="s">
        <v>894</v>
      </c>
      <c r="D18" s="201" t="s">
        <v>107</v>
      </c>
      <c r="E18" s="312">
        <f>1360*1.1</f>
        <v>1496.0000000000002</v>
      </c>
      <c r="F18" s="21"/>
      <c r="G18" s="22"/>
    </row>
    <row r="19" spans="1:7">
      <c r="A19" s="91"/>
      <c r="B19" s="135"/>
      <c r="C19" s="316" t="s">
        <v>895</v>
      </c>
      <c r="D19" s="201" t="s">
        <v>107</v>
      </c>
      <c r="E19" s="312">
        <f>1070*1.1</f>
        <v>1177</v>
      </c>
      <c r="F19" s="21"/>
      <c r="G19" s="22"/>
    </row>
    <row r="20" spans="1:7">
      <c r="A20" s="91"/>
      <c r="B20" s="135"/>
      <c r="C20" s="316" t="s">
        <v>896</v>
      </c>
      <c r="D20" s="201" t="s">
        <v>107</v>
      </c>
      <c r="E20" s="312">
        <f>185*1.1</f>
        <v>203.50000000000003</v>
      </c>
      <c r="F20" s="21"/>
      <c r="G20" s="22"/>
    </row>
    <row r="21" spans="1:7">
      <c r="A21" s="91"/>
      <c r="B21" s="135"/>
      <c r="C21" s="316" t="s">
        <v>897</v>
      </c>
      <c r="D21" s="201" t="s">
        <v>107</v>
      </c>
      <c r="E21" s="312">
        <f>1500*1.1</f>
        <v>1650.0000000000002</v>
      </c>
      <c r="F21" s="21"/>
      <c r="G21" s="22"/>
    </row>
    <row r="22" spans="1:7">
      <c r="A22" s="91"/>
      <c r="B22" s="135"/>
      <c r="C22" s="316" t="s">
        <v>898</v>
      </c>
      <c r="D22" s="201" t="s">
        <v>107</v>
      </c>
      <c r="E22" s="312">
        <f>1310*1.1</f>
        <v>1441.0000000000002</v>
      </c>
      <c r="F22" s="21"/>
      <c r="G22" s="22"/>
    </row>
    <row r="23" spans="1:7">
      <c r="A23" s="91"/>
      <c r="B23" s="135"/>
      <c r="C23" s="316" t="s">
        <v>899</v>
      </c>
      <c r="D23" s="201" t="s">
        <v>107</v>
      </c>
      <c r="E23" s="312">
        <f>445*1.1</f>
        <v>489.50000000000006</v>
      </c>
      <c r="F23" s="21"/>
      <c r="G23" s="22"/>
    </row>
    <row r="24" spans="1:7">
      <c r="A24" s="91"/>
      <c r="B24" s="135"/>
      <c r="C24" s="317" t="s">
        <v>900</v>
      </c>
      <c r="D24" s="184" t="s">
        <v>44</v>
      </c>
      <c r="E24" s="201">
        <v>1</v>
      </c>
      <c r="F24" s="21"/>
      <c r="G24" s="22"/>
    </row>
    <row r="25" spans="1:7" ht="25.5">
      <c r="A25" s="91">
        <v>2</v>
      </c>
      <c r="B25" s="97" t="s">
        <v>901</v>
      </c>
      <c r="C25" s="98" t="s">
        <v>902</v>
      </c>
      <c r="D25" s="95" t="s">
        <v>711</v>
      </c>
      <c r="E25" s="99">
        <v>925</v>
      </c>
      <c r="F25" s="21"/>
      <c r="G25" s="22"/>
    </row>
    <row r="26" spans="1:7">
      <c r="A26" s="91"/>
      <c r="B26" s="97"/>
      <c r="C26" s="101" t="s">
        <v>903</v>
      </c>
      <c r="D26" s="95" t="s">
        <v>107</v>
      </c>
      <c r="E26" s="99">
        <f>1.02*E25</f>
        <v>943.5</v>
      </c>
      <c r="F26" s="21"/>
      <c r="G26" s="22"/>
    </row>
    <row r="27" spans="1:7" ht="15">
      <c r="A27" s="91"/>
      <c r="B27" s="109"/>
      <c r="C27" s="318" t="s">
        <v>860</v>
      </c>
      <c r="D27" s="319"/>
      <c r="E27" s="320"/>
      <c r="F27" s="21"/>
      <c r="G27" s="22"/>
    </row>
    <row r="28" spans="1:7" ht="25.5">
      <c r="A28" s="91">
        <v>1</v>
      </c>
      <c r="B28" s="97" t="s">
        <v>861</v>
      </c>
      <c r="C28" s="98" t="s">
        <v>1191</v>
      </c>
      <c r="D28" s="95" t="s">
        <v>822</v>
      </c>
      <c r="E28" s="99">
        <v>519</v>
      </c>
      <c r="F28" s="21"/>
      <c r="G28" s="22"/>
    </row>
    <row r="29" spans="1:7">
      <c r="A29" s="91"/>
      <c r="B29" s="97">
        <v>0</v>
      </c>
      <c r="C29" s="101" t="s">
        <v>862</v>
      </c>
      <c r="D29" s="95" t="s">
        <v>822</v>
      </c>
      <c r="E29" s="99">
        <f>1*E28</f>
        <v>519</v>
      </c>
      <c r="F29" s="21"/>
      <c r="G29" s="22"/>
    </row>
    <row r="30" spans="1:7">
      <c r="A30" s="91"/>
      <c r="B30" s="97">
        <v>0</v>
      </c>
      <c r="C30" s="101" t="s">
        <v>1192</v>
      </c>
      <c r="D30" s="95" t="s">
        <v>107</v>
      </c>
      <c r="E30" s="99">
        <f>25*E28</f>
        <v>12975</v>
      </c>
      <c r="F30" s="21"/>
      <c r="G30" s="22"/>
    </row>
    <row r="31" spans="1:7">
      <c r="A31" s="91"/>
      <c r="B31" s="97">
        <v>0</v>
      </c>
      <c r="C31" s="101" t="s">
        <v>1193</v>
      </c>
      <c r="D31" s="95" t="s">
        <v>850</v>
      </c>
      <c r="E31" s="99">
        <f>E28/0.375*2.2</f>
        <v>3044.8</v>
      </c>
      <c r="F31" s="21"/>
      <c r="G31" s="22"/>
    </row>
    <row r="32" spans="1:7">
      <c r="A32" s="91">
        <v>2</v>
      </c>
      <c r="B32" s="97" t="s">
        <v>861</v>
      </c>
      <c r="C32" s="98" t="s">
        <v>863</v>
      </c>
      <c r="D32" s="95" t="s">
        <v>822</v>
      </c>
      <c r="E32" s="99">
        <v>4.3</v>
      </c>
      <c r="F32" s="21"/>
      <c r="G32" s="22"/>
    </row>
    <row r="33" spans="1:7">
      <c r="A33" s="91"/>
      <c r="B33" s="97">
        <v>0</v>
      </c>
      <c r="C33" s="101" t="s">
        <v>1194</v>
      </c>
      <c r="D33" s="95" t="s">
        <v>864</v>
      </c>
      <c r="E33" s="99">
        <f>0.32*E32</f>
        <v>1.3759999999999999</v>
      </c>
      <c r="F33" s="21"/>
      <c r="G33" s="22"/>
    </row>
    <row r="34" spans="1:7">
      <c r="A34" s="91"/>
      <c r="B34" s="97">
        <v>0</v>
      </c>
      <c r="C34" s="101" t="s">
        <v>1195</v>
      </c>
      <c r="D34" s="95" t="s">
        <v>822</v>
      </c>
      <c r="E34" s="99">
        <f>0.23*E32</f>
        <v>0.98899999999999999</v>
      </c>
      <c r="F34" s="21"/>
      <c r="G34" s="22"/>
    </row>
    <row r="35" spans="1:7">
      <c r="A35" s="91">
        <v>3</v>
      </c>
      <c r="B35" s="135" t="s">
        <v>746</v>
      </c>
      <c r="C35" s="321" t="s">
        <v>907</v>
      </c>
      <c r="D35" s="201" t="s">
        <v>321</v>
      </c>
      <c r="E35" s="322">
        <v>47</v>
      </c>
      <c r="F35" s="21"/>
      <c r="G35" s="22"/>
    </row>
    <row r="36" spans="1:7">
      <c r="A36" s="91"/>
      <c r="B36" s="135"/>
      <c r="C36" s="317" t="s">
        <v>908</v>
      </c>
      <c r="D36" s="201" t="s">
        <v>321</v>
      </c>
      <c r="E36" s="178">
        <v>5</v>
      </c>
      <c r="F36" s="21"/>
      <c r="G36" s="22"/>
    </row>
    <row r="37" spans="1:7">
      <c r="A37" s="91"/>
      <c r="B37" s="135"/>
      <c r="C37" s="317" t="s">
        <v>909</v>
      </c>
      <c r="D37" s="201" t="s">
        <v>321</v>
      </c>
      <c r="E37" s="178">
        <v>23</v>
      </c>
      <c r="F37" s="21"/>
      <c r="G37" s="22"/>
    </row>
    <row r="38" spans="1:7">
      <c r="A38" s="91"/>
      <c r="B38" s="135"/>
      <c r="C38" s="317" t="s">
        <v>910</v>
      </c>
      <c r="D38" s="201" t="s">
        <v>321</v>
      </c>
      <c r="E38" s="178">
        <v>3</v>
      </c>
      <c r="F38" s="21"/>
      <c r="G38" s="22"/>
    </row>
    <row r="39" spans="1:7">
      <c r="A39" s="91"/>
      <c r="B39" s="135"/>
      <c r="C39" s="317" t="s">
        <v>911</v>
      </c>
      <c r="D39" s="201" t="s">
        <v>321</v>
      </c>
      <c r="E39" s="178">
        <v>8</v>
      </c>
      <c r="F39" s="21"/>
      <c r="G39" s="22"/>
    </row>
    <row r="40" spans="1:7">
      <c r="A40" s="91"/>
      <c r="B40" s="135"/>
      <c r="C40" s="317" t="s">
        <v>912</v>
      </c>
      <c r="D40" s="201" t="s">
        <v>321</v>
      </c>
      <c r="E40" s="228">
        <v>3</v>
      </c>
      <c r="F40" s="21"/>
      <c r="G40" s="22"/>
    </row>
    <row r="41" spans="1:7">
      <c r="A41" s="91"/>
      <c r="B41" s="135"/>
      <c r="C41" s="317" t="s">
        <v>913</v>
      </c>
      <c r="D41" s="201" t="s">
        <v>321</v>
      </c>
      <c r="E41" s="228">
        <v>1</v>
      </c>
      <c r="F41" s="21"/>
      <c r="G41" s="22"/>
    </row>
    <row r="42" spans="1:7">
      <c r="A42" s="91"/>
      <c r="B42" s="135"/>
      <c r="C42" s="317" t="s">
        <v>914</v>
      </c>
      <c r="D42" s="201" t="s">
        <v>321</v>
      </c>
      <c r="E42" s="201">
        <v>4</v>
      </c>
      <c r="F42" s="21"/>
      <c r="G42" s="22"/>
    </row>
    <row r="43" spans="1:7" ht="25.5">
      <c r="A43" s="91">
        <v>4</v>
      </c>
      <c r="B43" s="135" t="s">
        <v>746</v>
      </c>
      <c r="C43" s="127" t="s">
        <v>1196</v>
      </c>
      <c r="D43" s="184" t="s">
        <v>399</v>
      </c>
      <c r="E43" s="278">
        <v>86</v>
      </c>
      <c r="F43" s="21"/>
      <c r="G43" s="22"/>
    </row>
    <row r="44" spans="1:7" ht="102">
      <c r="A44" s="91">
        <v>5</v>
      </c>
      <c r="B44" s="135" t="s">
        <v>746</v>
      </c>
      <c r="C44" s="127" t="s">
        <v>904</v>
      </c>
      <c r="D44" s="201" t="s">
        <v>107</v>
      </c>
      <c r="E44" s="294">
        <v>4310</v>
      </c>
      <c r="F44" s="21"/>
      <c r="G44" s="22"/>
    </row>
    <row r="45" spans="1:7">
      <c r="A45" s="91"/>
      <c r="B45" s="135"/>
      <c r="C45" s="309" t="s">
        <v>837</v>
      </c>
      <c r="D45" s="201" t="s">
        <v>107</v>
      </c>
      <c r="E45" s="201">
        <f>2845*1.15</f>
        <v>3271.7499999999995</v>
      </c>
      <c r="F45" s="21"/>
      <c r="G45" s="22"/>
    </row>
    <row r="46" spans="1:7">
      <c r="A46" s="91"/>
      <c r="B46" s="135"/>
      <c r="C46" s="309" t="s">
        <v>905</v>
      </c>
      <c r="D46" s="201" t="s">
        <v>107</v>
      </c>
      <c r="E46" s="201">
        <f>1465*1.15</f>
        <v>1684.7499999999998</v>
      </c>
      <c r="F46" s="21"/>
      <c r="G46" s="22"/>
    </row>
    <row r="47" spans="1:7" ht="25.5">
      <c r="A47" s="91"/>
      <c r="B47" s="135"/>
      <c r="C47" s="310" t="s">
        <v>839</v>
      </c>
      <c r="D47" s="297" t="s">
        <v>44</v>
      </c>
      <c r="E47" s="184">
        <v>1</v>
      </c>
      <c r="F47" s="21"/>
      <c r="G47" s="22"/>
    </row>
    <row r="48" spans="1:7" ht="51">
      <c r="A48" s="91">
        <v>6</v>
      </c>
      <c r="B48" s="135" t="s">
        <v>746</v>
      </c>
      <c r="C48" s="127" t="s">
        <v>906</v>
      </c>
      <c r="D48" s="201" t="s">
        <v>716</v>
      </c>
      <c r="E48" s="278">
        <v>51</v>
      </c>
      <c r="F48" s="21"/>
      <c r="G48" s="22"/>
    </row>
    <row r="49" spans="1:7">
      <c r="A49" s="91"/>
      <c r="B49" s="135"/>
      <c r="C49" s="311" t="s">
        <v>845</v>
      </c>
      <c r="D49" s="201" t="s">
        <v>716</v>
      </c>
      <c r="E49" s="312">
        <f>E48*1.05</f>
        <v>53.550000000000004</v>
      </c>
      <c r="F49" s="21"/>
      <c r="G49" s="22"/>
    </row>
    <row r="50" spans="1:7">
      <c r="A50" s="91"/>
      <c r="B50" s="135"/>
      <c r="C50" s="311" t="s">
        <v>842</v>
      </c>
      <c r="D50" s="201" t="s">
        <v>843</v>
      </c>
      <c r="E50" s="312">
        <f>E48*0.25</f>
        <v>12.75</v>
      </c>
      <c r="F50" s="21"/>
      <c r="G50" s="22"/>
    </row>
    <row r="51" spans="1:7" ht="25.5">
      <c r="A51" s="91">
        <v>7</v>
      </c>
      <c r="B51" s="135" t="s">
        <v>673</v>
      </c>
      <c r="C51" s="105" t="s">
        <v>1069</v>
      </c>
      <c r="D51" s="95" t="s">
        <v>711</v>
      </c>
      <c r="E51" s="99">
        <v>1130</v>
      </c>
      <c r="F51" s="21"/>
      <c r="G51" s="22"/>
    </row>
    <row r="52" spans="1:7" ht="30">
      <c r="A52" s="91"/>
      <c r="B52" s="109"/>
      <c r="C52" s="318" t="s">
        <v>851</v>
      </c>
      <c r="D52" s="319"/>
      <c r="E52" s="320"/>
      <c r="F52" s="21"/>
      <c r="G52" s="22"/>
    </row>
    <row r="53" spans="1:7">
      <c r="A53" s="91">
        <v>8</v>
      </c>
      <c r="B53" s="97" t="s">
        <v>852</v>
      </c>
      <c r="C53" s="98" t="s">
        <v>853</v>
      </c>
      <c r="D53" s="95" t="s">
        <v>711</v>
      </c>
      <c r="E53" s="99">
        <v>1130</v>
      </c>
      <c r="F53" s="21"/>
      <c r="G53" s="22"/>
    </row>
    <row r="54" spans="1:7">
      <c r="A54" s="91"/>
      <c r="B54" s="97">
        <v>0</v>
      </c>
      <c r="C54" s="101" t="s">
        <v>854</v>
      </c>
      <c r="D54" s="95" t="s">
        <v>822</v>
      </c>
      <c r="E54" s="99">
        <f>0.1*0.05*1.05*E53/0.6</f>
        <v>9.8875000000000028</v>
      </c>
      <c r="F54" s="21"/>
      <c r="G54" s="22"/>
    </row>
    <row r="55" spans="1:7">
      <c r="A55" s="91"/>
      <c r="B55" s="97">
        <v>0</v>
      </c>
      <c r="C55" s="101" t="s">
        <v>855</v>
      </c>
      <c r="D55" s="95" t="s">
        <v>856</v>
      </c>
      <c r="E55" s="99">
        <f>0.16*E53</f>
        <v>180.8</v>
      </c>
      <c r="F55" s="21"/>
      <c r="G55" s="22"/>
    </row>
    <row r="56" spans="1:7">
      <c r="A56" s="91"/>
      <c r="B56" s="97"/>
      <c r="C56" s="101" t="s">
        <v>1246</v>
      </c>
      <c r="D56" s="95" t="s">
        <v>694</v>
      </c>
      <c r="E56" s="99">
        <v>1</v>
      </c>
      <c r="F56" s="21"/>
      <c r="G56" s="22"/>
    </row>
    <row r="57" spans="1:7">
      <c r="A57" s="91">
        <v>9</v>
      </c>
      <c r="B57" s="97" t="s">
        <v>857</v>
      </c>
      <c r="C57" s="98" t="s">
        <v>1197</v>
      </c>
      <c r="D57" s="95" t="s">
        <v>711</v>
      </c>
      <c r="E57" s="99">
        <f>E53</f>
        <v>1130</v>
      </c>
      <c r="F57" s="21"/>
      <c r="G57" s="22"/>
    </row>
    <row r="58" spans="1:7">
      <c r="A58" s="91"/>
      <c r="B58" s="97">
        <v>0</v>
      </c>
      <c r="C58" s="101" t="s">
        <v>1198</v>
      </c>
      <c r="D58" s="95" t="s">
        <v>711</v>
      </c>
      <c r="E58" s="99">
        <f>1.05*E57</f>
        <v>1186.5</v>
      </c>
      <c r="F58" s="21"/>
      <c r="G58" s="22"/>
    </row>
    <row r="59" spans="1:7">
      <c r="A59" s="91">
        <v>10</v>
      </c>
      <c r="B59" s="97" t="s">
        <v>852</v>
      </c>
      <c r="C59" s="98" t="s">
        <v>853</v>
      </c>
      <c r="D59" s="95" t="s">
        <v>711</v>
      </c>
      <c r="E59" s="99">
        <f>E53</f>
        <v>1130</v>
      </c>
      <c r="F59" s="21"/>
      <c r="G59" s="22"/>
    </row>
    <row r="60" spans="1:7">
      <c r="A60" s="91"/>
      <c r="B60" s="97">
        <v>0</v>
      </c>
      <c r="C60" s="101" t="s">
        <v>858</v>
      </c>
      <c r="D60" s="95" t="s">
        <v>822</v>
      </c>
      <c r="E60" s="99">
        <f>0.2*0.05*1.05*E59/0.6</f>
        <v>19.775000000000006</v>
      </c>
      <c r="F60" s="21"/>
      <c r="G60" s="22"/>
    </row>
    <row r="61" spans="1:7">
      <c r="A61" s="91"/>
      <c r="B61" s="97">
        <v>0</v>
      </c>
      <c r="C61" s="101" t="s">
        <v>855</v>
      </c>
      <c r="D61" s="95" t="s">
        <v>856</v>
      </c>
      <c r="E61" s="99">
        <f>0.16*E59</f>
        <v>180.8</v>
      </c>
      <c r="F61" s="21"/>
      <c r="G61" s="22"/>
    </row>
    <row r="62" spans="1:7">
      <c r="A62" s="91"/>
      <c r="B62" s="97"/>
      <c r="C62" s="101" t="s">
        <v>1246</v>
      </c>
      <c r="D62" s="95" t="s">
        <v>694</v>
      </c>
      <c r="E62" s="99">
        <v>1</v>
      </c>
      <c r="F62" s="21"/>
      <c r="G62" s="22"/>
    </row>
    <row r="63" spans="1:7">
      <c r="A63" s="91">
        <v>11</v>
      </c>
      <c r="B63" s="97" t="s">
        <v>857</v>
      </c>
      <c r="C63" s="98" t="s">
        <v>1197</v>
      </c>
      <c r="D63" s="95" t="s">
        <v>711</v>
      </c>
      <c r="E63" s="99">
        <f>E53</f>
        <v>1130</v>
      </c>
      <c r="F63" s="21"/>
      <c r="G63" s="22"/>
    </row>
    <row r="64" spans="1:7">
      <c r="A64" s="91"/>
      <c r="B64" s="97">
        <v>0</v>
      </c>
      <c r="C64" s="101" t="s">
        <v>1199</v>
      </c>
      <c r="D64" s="95" t="s">
        <v>711</v>
      </c>
      <c r="E64" s="99">
        <f>1.05*E63</f>
        <v>1186.5</v>
      </c>
      <c r="F64" s="21"/>
      <c r="G64" s="22"/>
    </row>
    <row r="65" spans="1:7">
      <c r="A65" s="91">
        <v>12</v>
      </c>
      <c r="B65" s="97" t="s">
        <v>852</v>
      </c>
      <c r="C65" s="98" t="s">
        <v>853</v>
      </c>
      <c r="D65" s="95" t="s">
        <v>711</v>
      </c>
      <c r="E65" s="99">
        <f>E53</f>
        <v>1130</v>
      </c>
      <c r="F65" s="21"/>
      <c r="G65" s="22"/>
    </row>
    <row r="66" spans="1:7">
      <c r="A66" s="91"/>
      <c r="B66" s="97">
        <v>0</v>
      </c>
      <c r="C66" s="101" t="s">
        <v>858</v>
      </c>
      <c r="D66" s="95" t="s">
        <v>822</v>
      </c>
      <c r="E66" s="99">
        <f>0.2*0.05*1.05*E65/0.6</f>
        <v>19.775000000000006</v>
      </c>
      <c r="F66" s="21"/>
      <c r="G66" s="22"/>
    </row>
    <row r="67" spans="1:7">
      <c r="A67" s="91"/>
      <c r="B67" s="97">
        <v>0</v>
      </c>
      <c r="C67" s="101" t="s">
        <v>855</v>
      </c>
      <c r="D67" s="95" t="s">
        <v>856</v>
      </c>
      <c r="E67" s="99">
        <f>0.16*E65</f>
        <v>180.8</v>
      </c>
      <c r="F67" s="21"/>
      <c r="G67" s="22"/>
    </row>
    <row r="68" spans="1:7">
      <c r="A68" s="91"/>
      <c r="B68" s="97"/>
      <c r="C68" s="101" t="s">
        <v>1246</v>
      </c>
      <c r="D68" s="95" t="s">
        <v>694</v>
      </c>
      <c r="E68" s="99">
        <v>1</v>
      </c>
      <c r="F68" s="21"/>
      <c r="G68" s="22"/>
    </row>
    <row r="69" spans="1:7">
      <c r="A69" s="91">
        <v>13</v>
      </c>
      <c r="B69" s="97" t="s">
        <v>857</v>
      </c>
      <c r="C69" s="98" t="s">
        <v>1197</v>
      </c>
      <c r="D69" s="95" t="s">
        <v>711</v>
      </c>
      <c r="E69" s="99">
        <f>E53</f>
        <v>1130</v>
      </c>
      <c r="F69" s="21"/>
      <c r="G69" s="22"/>
    </row>
    <row r="70" spans="1:7">
      <c r="A70" s="91"/>
      <c r="B70" s="97">
        <v>0</v>
      </c>
      <c r="C70" s="101" t="s">
        <v>1199</v>
      </c>
      <c r="D70" s="95" t="s">
        <v>711</v>
      </c>
      <c r="E70" s="99">
        <f>1.05*E69</f>
        <v>1186.5</v>
      </c>
      <c r="F70" s="21"/>
      <c r="G70" s="22"/>
    </row>
    <row r="71" spans="1:7">
      <c r="A71" s="91">
        <v>14</v>
      </c>
      <c r="B71" s="97" t="s">
        <v>857</v>
      </c>
      <c r="C71" s="98" t="s">
        <v>859</v>
      </c>
      <c r="D71" s="95" t="s">
        <v>711</v>
      </c>
      <c r="E71" s="99">
        <f>E53</f>
        <v>1130</v>
      </c>
      <c r="F71" s="21"/>
      <c r="G71" s="22"/>
    </row>
    <row r="72" spans="1:7">
      <c r="A72" s="91"/>
      <c r="B72" s="97">
        <v>0</v>
      </c>
      <c r="C72" s="101" t="s">
        <v>1200</v>
      </c>
      <c r="D72" s="95" t="s">
        <v>711</v>
      </c>
      <c r="E72" s="99">
        <f>1.05*E71</f>
        <v>1186.5</v>
      </c>
      <c r="F72" s="21"/>
      <c r="G72" s="22"/>
    </row>
    <row r="73" spans="1:7">
      <c r="A73" s="91"/>
      <c r="B73" s="92">
        <v>0</v>
      </c>
      <c r="C73" s="105" t="s">
        <v>1100</v>
      </c>
      <c r="D73" s="95" t="s">
        <v>694</v>
      </c>
      <c r="E73" s="99">
        <v>1</v>
      </c>
      <c r="F73" s="21"/>
      <c r="G73" s="22"/>
    </row>
    <row r="74" spans="1:7">
      <c r="A74" s="532">
        <v>14.2</v>
      </c>
      <c r="B74" s="486" t="s">
        <v>852</v>
      </c>
      <c r="C74" s="533" t="s">
        <v>853</v>
      </c>
      <c r="D74" s="534" t="s">
        <v>711</v>
      </c>
      <c r="E74" s="489">
        <f>E65</f>
        <v>1130</v>
      </c>
      <c r="F74" s="21"/>
      <c r="G74" s="22"/>
    </row>
    <row r="75" spans="1:7">
      <c r="A75" s="532"/>
      <c r="B75" s="486">
        <v>0</v>
      </c>
      <c r="C75" s="492" t="s">
        <v>1355</v>
      </c>
      <c r="D75" s="534" t="s">
        <v>822</v>
      </c>
      <c r="E75" s="489">
        <f>0.06*0.045*1.05*E74/0.6</f>
        <v>5.3392499999999998</v>
      </c>
      <c r="F75" s="21"/>
      <c r="G75" s="22"/>
    </row>
    <row r="76" spans="1:7">
      <c r="A76" s="532"/>
      <c r="B76" s="486">
        <v>0</v>
      </c>
      <c r="C76" s="492" t="s">
        <v>855</v>
      </c>
      <c r="D76" s="534" t="s">
        <v>856</v>
      </c>
      <c r="E76" s="489">
        <f>0.16*E74</f>
        <v>180.8</v>
      </c>
      <c r="F76" s="21"/>
      <c r="G76" s="22"/>
    </row>
    <row r="77" spans="1:7">
      <c r="A77" s="532"/>
      <c r="B77" s="486"/>
      <c r="C77" s="492" t="s">
        <v>1246</v>
      </c>
      <c r="D77" s="534" t="s">
        <v>694</v>
      </c>
      <c r="E77" s="489">
        <v>1</v>
      </c>
      <c r="F77" s="21"/>
      <c r="G77" s="22"/>
    </row>
    <row r="78" spans="1:7" ht="25.5">
      <c r="A78" s="91">
        <v>15</v>
      </c>
      <c r="B78" s="92" t="s">
        <v>673</v>
      </c>
      <c r="C78" s="105" t="s">
        <v>1069</v>
      </c>
      <c r="D78" s="323" t="s">
        <v>1101</v>
      </c>
      <c r="E78" s="99"/>
      <c r="F78" s="21"/>
      <c r="G78" s="22"/>
    </row>
    <row r="79" spans="1:7" ht="15">
      <c r="A79" s="91"/>
      <c r="B79" s="109"/>
      <c r="C79" s="318" t="s">
        <v>865</v>
      </c>
      <c r="D79" s="319"/>
      <c r="E79" s="320"/>
      <c r="F79" s="21"/>
      <c r="G79" s="22"/>
    </row>
    <row r="80" spans="1:7" ht="25.5">
      <c r="A80" s="91">
        <v>1</v>
      </c>
      <c r="B80" s="97" t="s">
        <v>852</v>
      </c>
      <c r="C80" s="98" t="s">
        <v>866</v>
      </c>
      <c r="D80" s="95" t="s">
        <v>711</v>
      </c>
      <c r="E80" s="99">
        <v>543</v>
      </c>
      <c r="F80" s="21"/>
      <c r="G80" s="22"/>
    </row>
    <row r="81" spans="1:7">
      <c r="A81" s="91"/>
      <c r="B81" s="97">
        <v>0</v>
      </c>
      <c r="C81" s="101" t="s">
        <v>1201</v>
      </c>
      <c r="D81" s="102" t="s">
        <v>850</v>
      </c>
      <c r="E81" s="99">
        <f>0.77*E80</f>
        <v>418.11</v>
      </c>
      <c r="F81" s="21"/>
      <c r="G81" s="22"/>
    </row>
    <row r="82" spans="1:7">
      <c r="A82" s="91"/>
      <c r="B82" s="97">
        <v>0</v>
      </c>
      <c r="C82" s="101" t="s">
        <v>867</v>
      </c>
      <c r="D82" s="102" t="s">
        <v>850</v>
      </c>
      <c r="E82" s="99">
        <f>1.32*E80</f>
        <v>716.76</v>
      </c>
      <c r="F82" s="21"/>
      <c r="G82" s="22"/>
    </row>
    <row r="83" spans="1:7">
      <c r="A83" s="91"/>
      <c r="B83" s="97">
        <v>0</v>
      </c>
      <c r="C83" s="101" t="s">
        <v>868</v>
      </c>
      <c r="D83" s="95" t="s">
        <v>856</v>
      </c>
      <c r="E83" s="99">
        <f>0.02*E80</f>
        <v>10.86</v>
      </c>
      <c r="F83" s="21"/>
      <c r="G83" s="22"/>
    </row>
    <row r="84" spans="1:7">
      <c r="A84" s="91"/>
      <c r="B84" s="97">
        <v>0</v>
      </c>
      <c r="C84" s="101" t="s">
        <v>869</v>
      </c>
      <c r="D84" s="102" t="s">
        <v>850</v>
      </c>
      <c r="E84" s="99">
        <f>2.2*E80</f>
        <v>1194.6000000000001</v>
      </c>
      <c r="F84" s="21"/>
      <c r="G84" s="22"/>
    </row>
    <row r="85" spans="1:7">
      <c r="A85" s="91"/>
      <c r="B85" s="97"/>
      <c r="C85" s="101" t="s">
        <v>870</v>
      </c>
      <c r="D85" s="102" t="s">
        <v>711</v>
      </c>
      <c r="E85" s="99">
        <f>E80</f>
        <v>543</v>
      </c>
      <c r="F85" s="21"/>
      <c r="G85" s="22"/>
    </row>
    <row r="86" spans="1:7" ht="25.5">
      <c r="A86" s="91">
        <v>2</v>
      </c>
      <c r="B86" s="97" t="s">
        <v>857</v>
      </c>
      <c r="C86" s="98" t="s">
        <v>871</v>
      </c>
      <c r="D86" s="95" t="s">
        <v>711</v>
      </c>
      <c r="E86" s="99">
        <v>543</v>
      </c>
      <c r="F86" s="21"/>
      <c r="G86" s="22"/>
    </row>
    <row r="87" spans="1:7">
      <c r="A87" s="91"/>
      <c r="B87" s="97">
        <v>0</v>
      </c>
      <c r="C87" s="101" t="s">
        <v>872</v>
      </c>
      <c r="D87" s="95" t="s">
        <v>711</v>
      </c>
      <c r="E87" s="99">
        <f>1.05*E86</f>
        <v>570.15</v>
      </c>
      <c r="F87" s="21"/>
      <c r="G87" s="22"/>
    </row>
    <row r="88" spans="1:7">
      <c r="A88" s="91">
        <v>3</v>
      </c>
      <c r="B88" s="97" t="s">
        <v>852</v>
      </c>
      <c r="C88" s="98" t="s">
        <v>873</v>
      </c>
      <c r="D88" s="95" t="s">
        <v>711</v>
      </c>
      <c r="E88" s="99">
        <v>744.4</v>
      </c>
      <c r="F88" s="21"/>
      <c r="G88" s="22"/>
    </row>
    <row r="89" spans="1:7">
      <c r="A89" s="91"/>
      <c r="B89" s="97">
        <v>0</v>
      </c>
      <c r="C89" s="101" t="s">
        <v>874</v>
      </c>
      <c r="D89" s="95" t="s">
        <v>856</v>
      </c>
      <c r="E89" s="489">
        <f>0.077*E88</f>
        <v>57.318799999999996</v>
      </c>
      <c r="F89" s="21"/>
      <c r="G89" s="22"/>
    </row>
    <row r="90" spans="1:7">
      <c r="A90" s="91"/>
      <c r="B90" s="97">
        <v>0</v>
      </c>
      <c r="C90" s="101" t="s">
        <v>875</v>
      </c>
      <c r="D90" s="95" t="s">
        <v>856</v>
      </c>
      <c r="E90" s="489">
        <f>0.17*E88</f>
        <v>126.548</v>
      </c>
      <c r="F90" s="21"/>
      <c r="G90" s="22"/>
    </row>
    <row r="91" spans="1:7">
      <c r="A91" s="91"/>
      <c r="B91" s="97">
        <v>0</v>
      </c>
      <c r="C91" s="101" t="s">
        <v>876</v>
      </c>
      <c r="D91" s="95" t="s">
        <v>711</v>
      </c>
      <c r="E91" s="99">
        <f>2.2*E88</f>
        <v>1637.68</v>
      </c>
      <c r="F91" s="21"/>
      <c r="G91" s="22"/>
    </row>
    <row r="92" spans="1:7" ht="25.5">
      <c r="A92" s="91">
        <v>4</v>
      </c>
      <c r="B92" s="97" t="s">
        <v>852</v>
      </c>
      <c r="C92" s="98" t="s">
        <v>877</v>
      </c>
      <c r="D92" s="95" t="s">
        <v>711</v>
      </c>
      <c r="E92" s="99">
        <v>286.10000000000002</v>
      </c>
      <c r="F92" s="21"/>
      <c r="G92" s="22"/>
    </row>
    <row r="93" spans="1:7">
      <c r="A93" s="91"/>
      <c r="B93" s="97">
        <v>0</v>
      </c>
      <c r="C93" s="101" t="s">
        <v>874</v>
      </c>
      <c r="D93" s="95" t="s">
        <v>856</v>
      </c>
      <c r="E93" s="489">
        <f>0.077*E92</f>
        <v>22.029700000000002</v>
      </c>
      <c r="F93" s="21"/>
      <c r="G93" s="22"/>
    </row>
    <row r="94" spans="1:7">
      <c r="A94" s="91"/>
      <c r="B94" s="97">
        <v>0</v>
      </c>
      <c r="C94" s="101" t="s">
        <v>875</v>
      </c>
      <c r="D94" s="95" t="s">
        <v>856</v>
      </c>
      <c r="E94" s="489">
        <f>0.17*E92</f>
        <v>48.637000000000008</v>
      </c>
      <c r="F94" s="21"/>
      <c r="G94" s="22"/>
    </row>
    <row r="95" spans="1:7">
      <c r="A95" s="91"/>
      <c r="B95" s="97">
        <v>0</v>
      </c>
      <c r="C95" s="101" t="s">
        <v>878</v>
      </c>
      <c r="D95" s="95" t="s">
        <v>711</v>
      </c>
      <c r="E95" s="99">
        <f>2.2*E92</f>
        <v>629.42000000000007</v>
      </c>
      <c r="F95" s="21"/>
      <c r="G95" s="22"/>
    </row>
    <row r="96" spans="1:7" ht="25.5">
      <c r="A96" s="91">
        <v>5</v>
      </c>
      <c r="B96" s="97" t="s">
        <v>852</v>
      </c>
      <c r="C96" s="98" t="s">
        <v>1202</v>
      </c>
      <c r="D96" s="95" t="s">
        <v>711</v>
      </c>
      <c r="E96" s="99">
        <v>56.1</v>
      </c>
      <c r="F96" s="21"/>
      <c r="G96" s="22"/>
    </row>
    <row r="97" spans="1:7">
      <c r="A97" s="91"/>
      <c r="B97" s="97">
        <v>0</v>
      </c>
      <c r="C97" s="101" t="s">
        <v>874</v>
      </c>
      <c r="D97" s="95" t="s">
        <v>856</v>
      </c>
      <c r="E97" s="489">
        <f>0.077*E96</f>
        <v>4.3197000000000001</v>
      </c>
      <c r="F97" s="21"/>
      <c r="G97" s="22"/>
    </row>
    <row r="98" spans="1:7">
      <c r="A98" s="91"/>
      <c r="B98" s="97">
        <v>0</v>
      </c>
      <c r="C98" s="101" t="s">
        <v>875</v>
      </c>
      <c r="D98" s="95" t="s">
        <v>856</v>
      </c>
      <c r="E98" s="489">
        <f>0.17*E96</f>
        <v>9.5370000000000008</v>
      </c>
      <c r="F98" s="21"/>
      <c r="G98" s="22"/>
    </row>
    <row r="99" spans="1:7">
      <c r="A99" s="91"/>
      <c r="B99" s="97">
        <v>0</v>
      </c>
      <c r="C99" s="101" t="s">
        <v>879</v>
      </c>
      <c r="D99" s="95" t="s">
        <v>711</v>
      </c>
      <c r="E99" s="99">
        <f>2.2*E96</f>
        <v>123.42000000000002</v>
      </c>
      <c r="F99" s="21"/>
      <c r="G99" s="22"/>
    </row>
    <row r="100" spans="1:7">
      <c r="A100" s="91">
        <v>6</v>
      </c>
      <c r="B100" s="97" t="s">
        <v>861</v>
      </c>
      <c r="C100" s="324" t="s">
        <v>880</v>
      </c>
      <c r="D100" s="95" t="s">
        <v>711</v>
      </c>
      <c r="E100" s="99">
        <v>35</v>
      </c>
      <c r="F100" s="21"/>
      <c r="G100" s="22"/>
    </row>
    <row r="101" spans="1:7" ht="38.25">
      <c r="A101" s="91"/>
      <c r="B101" s="97">
        <v>0</v>
      </c>
      <c r="C101" s="325" t="s">
        <v>881</v>
      </c>
      <c r="D101" s="95" t="s">
        <v>711</v>
      </c>
      <c r="E101" s="99">
        <f>E100</f>
        <v>35</v>
      </c>
      <c r="F101" s="21"/>
      <c r="G101" s="22"/>
    </row>
    <row r="102" spans="1:7" ht="25.5">
      <c r="A102" s="91">
        <v>7</v>
      </c>
      <c r="B102" s="97" t="s">
        <v>852</v>
      </c>
      <c r="C102" s="98" t="s">
        <v>882</v>
      </c>
      <c r="D102" s="95" t="s">
        <v>711</v>
      </c>
      <c r="E102" s="99">
        <v>7.5</v>
      </c>
      <c r="F102" s="21"/>
      <c r="G102" s="22"/>
    </row>
    <row r="103" spans="1:7">
      <c r="A103" s="91"/>
      <c r="B103" s="97">
        <v>0</v>
      </c>
      <c r="C103" s="101" t="s">
        <v>883</v>
      </c>
      <c r="D103" s="102" t="s">
        <v>850</v>
      </c>
      <c r="E103" s="99">
        <f>0.77*E102</f>
        <v>5.7750000000000004</v>
      </c>
      <c r="F103" s="21"/>
      <c r="G103" s="22"/>
    </row>
    <row r="104" spans="1:7">
      <c r="A104" s="91"/>
      <c r="B104" s="97">
        <v>0</v>
      </c>
      <c r="C104" s="101" t="s">
        <v>884</v>
      </c>
      <c r="D104" s="102" t="s">
        <v>850</v>
      </c>
      <c r="E104" s="99">
        <f>1.32*E102</f>
        <v>9.9</v>
      </c>
      <c r="F104" s="21"/>
      <c r="G104" s="22"/>
    </row>
    <row r="105" spans="1:7">
      <c r="A105" s="91"/>
      <c r="B105" s="97">
        <v>0</v>
      </c>
      <c r="C105" s="101" t="s">
        <v>868</v>
      </c>
      <c r="D105" s="95" t="s">
        <v>856</v>
      </c>
      <c r="E105" s="99">
        <f>0.02*E102</f>
        <v>0.15</v>
      </c>
      <c r="F105" s="21"/>
      <c r="G105" s="22"/>
    </row>
    <row r="106" spans="1:7">
      <c r="A106" s="91"/>
      <c r="B106" s="97">
        <v>0</v>
      </c>
      <c r="C106" s="101" t="s">
        <v>885</v>
      </c>
      <c r="D106" s="102" t="s">
        <v>850</v>
      </c>
      <c r="E106" s="99">
        <f>2.2*E102</f>
        <v>16.5</v>
      </c>
      <c r="F106" s="21"/>
      <c r="G106" s="22"/>
    </row>
    <row r="107" spans="1:7">
      <c r="A107" s="91"/>
      <c r="B107" s="97"/>
      <c r="C107" s="101" t="s">
        <v>870</v>
      </c>
      <c r="D107" s="102" t="s">
        <v>711</v>
      </c>
      <c r="E107" s="99">
        <f>E102</f>
        <v>7.5</v>
      </c>
      <c r="F107" s="21"/>
      <c r="G107" s="22"/>
    </row>
    <row r="108" spans="1:7" ht="38.25">
      <c r="A108" s="91">
        <v>8</v>
      </c>
      <c r="B108" s="97" t="s">
        <v>852</v>
      </c>
      <c r="C108" s="98" t="s">
        <v>886</v>
      </c>
      <c r="D108" s="95" t="s">
        <v>711</v>
      </c>
      <c r="E108" s="99">
        <v>7.5</v>
      </c>
      <c r="F108" s="21"/>
      <c r="G108" s="22"/>
    </row>
    <row r="109" spans="1:7">
      <c r="A109" s="91"/>
      <c r="B109" s="97">
        <v>0</v>
      </c>
      <c r="C109" s="101" t="s">
        <v>874</v>
      </c>
      <c r="D109" s="95" t="s">
        <v>856</v>
      </c>
      <c r="E109" s="489">
        <f>0.077*E108</f>
        <v>0.57750000000000001</v>
      </c>
      <c r="F109" s="21"/>
      <c r="G109" s="22"/>
    </row>
    <row r="110" spans="1:7">
      <c r="A110" s="91"/>
      <c r="B110" s="97">
        <v>0</v>
      </c>
      <c r="C110" s="101" t="s">
        <v>875</v>
      </c>
      <c r="D110" s="95" t="s">
        <v>856</v>
      </c>
      <c r="E110" s="489">
        <f>0.17*E108</f>
        <v>1.2750000000000001</v>
      </c>
      <c r="F110" s="21"/>
      <c r="G110" s="22"/>
    </row>
    <row r="111" spans="1:7">
      <c r="A111" s="91"/>
      <c r="B111" s="97">
        <v>0</v>
      </c>
      <c r="C111" s="101" t="s">
        <v>879</v>
      </c>
      <c r="D111" s="95" t="s">
        <v>711</v>
      </c>
      <c r="E111" s="99">
        <f>2.2*E108</f>
        <v>16.5</v>
      </c>
      <c r="F111" s="21"/>
      <c r="G111" s="22"/>
    </row>
    <row r="112" spans="1:7" ht="25.5">
      <c r="A112" s="91">
        <v>9</v>
      </c>
      <c r="B112" s="97" t="s">
        <v>852</v>
      </c>
      <c r="C112" s="98" t="s">
        <v>887</v>
      </c>
      <c r="D112" s="102" t="s">
        <v>850</v>
      </c>
      <c r="E112" s="99">
        <v>20</v>
      </c>
      <c r="F112" s="52"/>
      <c r="G112" s="53"/>
    </row>
    <row r="113" spans="1:7" ht="25.5">
      <c r="A113" s="91"/>
      <c r="B113" s="97">
        <v>0</v>
      </c>
      <c r="C113" s="101" t="s">
        <v>888</v>
      </c>
      <c r="D113" s="102" t="s">
        <v>850</v>
      </c>
      <c r="E113" s="99">
        <f>E112</f>
        <v>20</v>
      </c>
      <c r="F113" s="52"/>
      <c r="G113" s="53"/>
    </row>
    <row r="114" spans="1:7" s="17" customFormat="1">
      <c r="A114" s="28"/>
      <c r="B114" s="29"/>
      <c r="C114" s="30"/>
      <c r="D114" s="31"/>
      <c r="E114" s="12"/>
      <c r="F114" s="12"/>
      <c r="G114" s="32"/>
    </row>
    <row r="115" spans="1:7" ht="15">
      <c r="A115" s="13"/>
      <c r="B115" s="13"/>
      <c r="C115" s="18"/>
      <c r="D115" s="19"/>
      <c r="E115" s="18"/>
      <c r="F115" s="18" t="s">
        <v>6</v>
      </c>
      <c r="G115" s="20"/>
    </row>
    <row r="117" spans="1:7" s="25" customFormat="1" ht="12.75" customHeight="1">
      <c r="B117" s="26" t="str">
        <f>'1,1'!B32</f>
        <v>Piezīmes:</v>
      </c>
    </row>
    <row r="118" spans="1:7" s="25" customFormat="1" ht="45" customHeight="1">
      <c r="A118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18" s="546"/>
      <c r="C118" s="546"/>
      <c r="D118" s="546"/>
      <c r="E118" s="546"/>
      <c r="F118" s="546"/>
      <c r="G118" s="546"/>
    </row>
    <row r="119" spans="1:7" s="25" customFormat="1" ht="12.75" customHeight="1">
      <c r="A119" s="546">
        <f>'1,1'!$A$34</f>
        <v>0</v>
      </c>
      <c r="B119" s="546"/>
      <c r="C119" s="546"/>
      <c r="D119" s="546"/>
      <c r="E119" s="546"/>
      <c r="F119" s="546"/>
      <c r="G119" s="546"/>
    </row>
    <row r="120" spans="1:7" s="25" customFormat="1" ht="12.75" customHeight="1">
      <c r="B120" s="27"/>
    </row>
    <row r="121" spans="1:7">
      <c r="B121" s="5" t="str">
        <f>'1,1'!B36</f>
        <v>Sastādīja:</v>
      </c>
    </row>
    <row r="122" spans="1:7" ht="14.25" customHeight="1">
      <c r="C122" s="33" t="str">
        <f>'1,1'!C37</f>
        <v>Arnis Gailītis</v>
      </c>
    </row>
    <row r="123" spans="1:7">
      <c r="C123" s="34" t="str">
        <f>'1,1'!C38</f>
        <v>Sertifikāta Nr.20-5643</v>
      </c>
      <c r="D123" s="35"/>
    </row>
    <row r="126" spans="1:7">
      <c r="B126" s="40" t="str">
        <f>'1,1'!B41</f>
        <v>Pārbaudīja:</v>
      </c>
      <c r="C126" s="3"/>
    </row>
    <row r="127" spans="1:7">
      <c r="B127" s="2"/>
      <c r="C127" s="33" t="str">
        <f>'1,1'!C42</f>
        <v>Aivars Mauriņš</v>
      </c>
    </row>
    <row r="128" spans="1:7">
      <c r="B128" s="1"/>
      <c r="C128" s="34" t="str">
        <f>'1,1'!C43</f>
        <v>Sertifikāta Nr.20-5957</v>
      </c>
    </row>
  </sheetData>
  <mergeCells count="15">
    <mergeCell ref="A119:G119"/>
    <mergeCell ref="A118:G118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42"/>
  <sheetViews>
    <sheetView showZeros="0" view="pageBreakPreview" topLeftCell="A7" zoomScale="80" zoomScaleNormal="100" zoomScaleSheetLayoutView="80" workbookViewId="0">
      <selection activeCell="E23" sqref="E2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1.6</v>
      </c>
      <c r="E1" s="36"/>
      <c r="F1" s="36"/>
      <c r="G1" s="36"/>
    </row>
    <row r="2" spans="1:7" s="9" customFormat="1" ht="15">
      <c r="A2" s="549" t="str">
        <f>C13</f>
        <v>Pārsegums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>
        <v>0</v>
      </c>
      <c r="C13" s="93" t="str">
        <f>[2]kops1!C26</f>
        <v>Pārsegums</v>
      </c>
      <c r="D13" s="94"/>
      <c r="E13" s="95"/>
      <c r="F13" s="23"/>
      <c r="G13" s="24"/>
    </row>
    <row r="14" spans="1:7">
      <c r="A14" s="134">
        <v>0</v>
      </c>
      <c r="B14" s="135"/>
      <c r="C14" s="326" t="s">
        <v>915</v>
      </c>
      <c r="D14" s="184"/>
      <c r="E14" s="278"/>
      <c r="F14" s="21"/>
      <c r="G14" s="22"/>
    </row>
    <row r="15" spans="1:7">
      <c r="A15" s="147">
        <v>1</v>
      </c>
      <c r="B15" s="135" t="s">
        <v>746</v>
      </c>
      <c r="C15" s="327" t="s">
        <v>916</v>
      </c>
      <c r="D15" s="328" t="s">
        <v>399</v>
      </c>
      <c r="E15" s="328">
        <v>344</v>
      </c>
      <c r="F15" s="21"/>
      <c r="G15" s="22"/>
    </row>
    <row r="16" spans="1:7" ht="38.25">
      <c r="A16" s="147">
        <v>2</v>
      </c>
      <c r="B16" s="135" t="s">
        <v>746</v>
      </c>
      <c r="C16" s="127" t="s">
        <v>917</v>
      </c>
      <c r="D16" s="184" t="s">
        <v>399</v>
      </c>
      <c r="E16" s="278">
        <v>92</v>
      </c>
      <c r="F16" s="21"/>
      <c r="G16" s="22"/>
    </row>
    <row r="17" spans="1:7">
      <c r="A17" s="147">
        <v>0</v>
      </c>
      <c r="B17" s="135"/>
      <c r="C17" s="305" t="s">
        <v>833</v>
      </c>
      <c r="D17" s="297" t="s">
        <v>399</v>
      </c>
      <c r="E17" s="306">
        <f>E16</f>
        <v>92</v>
      </c>
      <c r="F17" s="21"/>
      <c r="G17" s="22"/>
    </row>
    <row r="18" spans="1:7" ht="25.5">
      <c r="A18" s="147">
        <v>0</v>
      </c>
      <c r="B18" s="135"/>
      <c r="C18" s="307" t="s">
        <v>834</v>
      </c>
      <c r="D18" s="297" t="s">
        <v>399</v>
      </c>
      <c r="E18" s="308">
        <f>E16</f>
        <v>92</v>
      </c>
      <c r="F18" s="21"/>
      <c r="G18" s="22"/>
    </row>
    <row r="19" spans="1:7" ht="102">
      <c r="A19" s="147">
        <v>3</v>
      </c>
      <c r="B19" s="135" t="s">
        <v>746</v>
      </c>
      <c r="C19" s="151" t="s">
        <v>918</v>
      </c>
      <c r="D19" s="184" t="s">
        <v>107</v>
      </c>
      <c r="E19" s="278">
        <v>1365</v>
      </c>
      <c r="F19" s="21"/>
      <c r="G19" s="22"/>
    </row>
    <row r="20" spans="1:7">
      <c r="A20" s="147">
        <v>0</v>
      </c>
      <c r="B20" s="135"/>
      <c r="C20" s="309" t="s">
        <v>837</v>
      </c>
      <c r="D20" s="201" t="s">
        <v>107</v>
      </c>
      <c r="E20" s="329">
        <f>890*1.15</f>
        <v>1023.4999999999999</v>
      </c>
      <c r="F20" s="21"/>
      <c r="G20" s="22"/>
    </row>
    <row r="21" spans="1:7">
      <c r="A21" s="147">
        <v>0</v>
      </c>
      <c r="B21" s="135"/>
      <c r="C21" s="309" t="s">
        <v>905</v>
      </c>
      <c r="D21" s="201" t="s">
        <v>107</v>
      </c>
      <c r="E21" s="329">
        <f>475*1.15</f>
        <v>546.25</v>
      </c>
      <c r="F21" s="21"/>
      <c r="G21" s="22"/>
    </row>
    <row r="22" spans="1:7" ht="25.5">
      <c r="A22" s="147">
        <v>0</v>
      </c>
      <c r="B22" s="135"/>
      <c r="C22" s="330" t="s">
        <v>839</v>
      </c>
      <c r="D22" s="184" t="s">
        <v>44</v>
      </c>
      <c r="E22" s="184">
        <v>1</v>
      </c>
      <c r="F22" s="21"/>
      <c r="G22" s="22"/>
    </row>
    <row r="23" spans="1:7" ht="38.25">
      <c r="A23" s="147">
        <v>4</v>
      </c>
      <c r="B23" s="135" t="s">
        <v>746</v>
      </c>
      <c r="C23" s="127" t="s">
        <v>919</v>
      </c>
      <c r="D23" s="201" t="s">
        <v>716</v>
      </c>
      <c r="E23" s="278">
        <v>20</v>
      </c>
      <c r="F23" s="21"/>
      <c r="G23" s="22"/>
    </row>
    <row r="24" spans="1:7">
      <c r="A24" s="147">
        <v>0</v>
      </c>
      <c r="B24" s="135"/>
      <c r="C24" s="311" t="s">
        <v>845</v>
      </c>
      <c r="D24" s="201" t="s">
        <v>716</v>
      </c>
      <c r="E24" s="312">
        <f>E23*1.05</f>
        <v>21</v>
      </c>
      <c r="F24" s="21"/>
      <c r="G24" s="22"/>
    </row>
    <row r="25" spans="1:7">
      <c r="A25" s="147">
        <v>0</v>
      </c>
      <c r="B25" s="135"/>
      <c r="C25" s="311" t="s">
        <v>842</v>
      </c>
      <c r="D25" s="201" t="s">
        <v>843</v>
      </c>
      <c r="E25" s="312">
        <f>E23*0.25</f>
        <v>5</v>
      </c>
      <c r="F25" s="21"/>
      <c r="G25" s="22"/>
    </row>
    <row r="26" spans="1:7">
      <c r="A26" s="147">
        <v>5</v>
      </c>
      <c r="B26" s="135" t="s">
        <v>673</v>
      </c>
      <c r="C26" s="331" t="s">
        <v>920</v>
      </c>
      <c r="D26" s="201" t="s">
        <v>321</v>
      </c>
      <c r="E26" s="312">
        <v>13</v>
      </c>
      <c r="F26" s="21"/>
      <c r="G26" s="22"/>
    </row>
    <row r="27" spans="1:7" ht="25.5">
      <c r="A27" s="332">
        <v>6</v>
      </c>
      <c r="B27" s="97" t="s">
        <v>857</v>
      </c>
      <c r="C27" s="98" t="s">
        <v>921</v>
      </c>
      <c r="D27" s="95" t="s">
        <v>711</v>
      </c>
      <c r="E27" s="99">
        <v>160</v>
      </c>
      <c r="F27" s="21"/>
      <c r="G27" s="22"/>
    </row>
    <row r="28" spans="1:7" s="17" customFormat="1">
      <c r="A28" s="28"/>
      <c r="B28" s="29"/>
      <c r="C28" s="30"/>
      <c r="D28" s="31"/>
      <c r="E28" s="12"/>
      <c r="F28" s="12"/>
      <c r="G28" s="32"/>
    </row>
    <row r="29" spans="1:7" ht="15">
      <c r="A29" s="13"/>
      <c r="B29" s="13"/>
      <c r="C29" s="18"/>
      <c r="D29" s="19"/>
      <c r="E29" s="18"/>
      <c r="F29" s="18" t="s">
        <v>6</v>
      </c>
      <c r="G29" s="20"/>
    </row>
    <row r="31" spans="1:7" s="25" customFormat="1" ht="12.75" customHeight="1">
      <c r="B31" s="26" t="str">
        <f>'1,1'!B32</f>
        <v>Piezīmes:</v>
      </c>
    </row>
    <row r="32" spans="1:7" s="25" customFormat="1" ht="45" customHeight="1">
      <c r="A32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32" s="546"/>
      <c r="C32" s="546"/>
      <c r="D32" s="546"/>
      <c r="E32" s="546"/>
      <c r="F32" s="546"/>
      <c r="G32" s="546"/>
    </row>
    <row r="33" spans="1:7" s="25" customFormat="1" ht="12.75" customHeight="1">
      <c r="A33" s="546">
        <f>'1,1'!$A$34</f>
        <v>0</v>
      </c>
      <c r="B33" s="546"/>
      <c r="C33" s="546"/>
      <c r="D33" s="546"/>
      <c r="E33" s="546"/>
      <c r="F33" s="546"/>
      <c r="G33" s="546"/>
    </row>
    <row r="34" spans="1:7" s="25" customFormat="1" ht="12.75" customHeight="1">
      <c r="B34" s="27"/>
    </row>
    <row r="35" spans="1:7">
      <c r="B35" s="5" t="str">
        <f>'1,1'!B36</f>
        <v>Sastādīja:</v>
      </c>
    </row>
    <row r="36" spans="1:7" ht="14.25" customHeight="1">
      <c r="C36" s="33" t="str">
        <f>'1,1'!C37</f>
        <v>Arnis Gailītis</v>
      </c>
    </row>
    <row r="37" spans="1:7">
      <c r="C37" s="34" t="str">
        <f>'1,1'!C38</f>
        <v>Sertifikāta Nr.20-5643</v>
      </c>
      <c r="D37" s="35"/>
    </row>
    <row r="40" spans="1:7">
      <c r="B40" s="40" t="str">
        <f>'1,1'!B41</f>
        <v>Pārbaudīja:</v>
      </c>
      <c r="C40" s="3"/>
    </row>
    <row r="41" spans="1:7">
      <c r="B41" s="2"/>
      <c r="C41" s="33" t="str">
        <f>'1,1'!C42</f>
        <v>Aivars Mauriņš</v>
      </c>
    </row>
    <row r="42" spans="1:7">
      <c r="B42" s="1"/>
      <c r="C42" s="34" t="str">
        <f>'1,1'!C43</f>
        <v>Sertifikāta Nr.20-5957</v>
      </c>
    </row>
  </sheetData>
  <mergeCells count="15">
    <mergeCell ref="A33:G33"/>
    <mergeCell ref="A32:G32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78"/>
  <sheetViews>
    <sheetView showZeros="0" view="pageBreakPreview" topLeftCell="A16" zoomScale="80" zoomScaleNormal="100" zoomScaleSheetLayoutView="80" workbookViewId="0">
      <selection activeCell="J66" sqref="J66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1.7</v>
      </c>
      <c r="E1" s="36"/>
      <c r="F1" s="36"/>
      <c r="G1" s="36"/>
    </row>
    <row r="2" spans="1:7" s="9" customFormat="1" ht="15">
      <c r="A2" s="549" t="str">
        <f>C13</f>
        <v>Kāpnes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>
        <v>0</v>
      </c>
      <c r="B13" s="333"/>
      <c r="C13" s="93" t="str">
        <f>[2]kops1!C27</f>
        <v>Kāpnes</v>
      </c>
      <c r="D13" s="95"/>
      <c r="E13" s="334"/>
      <c r="F13" s="23"/>
      <c r="G13" s="24"/>
    </row>
    <row r="14" spans="1:7">
      <c r="A14" s="134">
        <v>0</v>
      </c>
      <c r="B14" s="135"/>
      <c r="C14" s="190" t="s">
        <v>922</v>
      </c>
      <c r="D14" s="184"/>
      <c r="E14" s="278"/>
      <c r="F14" s="21"/>
      <c r="G14" s="22"/>
    </row>
    <row r="15" spans="1:7" ht="25.5">
      <c r="A15" s="147">
        <v>1</v>
      </c>
      <c r="B15" s="135" t="s">
        <v>746</v>
      </c>
      <c r="C15" s="127" t="s">
        <v>923</v>
      </c>
      <c r="D15" s="294" t="s">
        <v>716</v>
      </c>
      <c r="E15" s="289">
        <v>4</v>
      </c>
      <c r="F15" s="21"/>
      <c r="G15" s="22"/>
    </row>
    <row r="16" spans="1:7">
      <c r="A16" s="147">
        <v>0</v>
      </c>
      <c r="B16" s="135"/>
      <c r="C16" s="305" t="s">
        <v>924</v>
      </c>
      <c r="D16" s="465" t="s">
        <v>822</v>
      </c>
      <c r="E16" s="289">
        <f>E15*1.1</f>
        <v>4.4000000000000004</v>
      </c>
      <c r="F16" s="21"/>
      <c r="G16" s="22"/>
    </row>
    <row r="17" spans="1:7" ht="38.25">
      <c r="A17" s="147">
        <v>2</v>
      </c>
      <c r="B17" s="135" t="s">
        <v>746</v>
      </c>
      <c r="C17" s="127" t="s">
        <v>925</v>
      </c>
      <c r="D17" s="184" t="s">
        <v>399</v>
      </c>
      <c r="E17" s="278">
        <v>36</v>
      </c>
      <c r="F17" s="21"/>
      <c r="G17" s="22"/>
    </row>
    <row r="18" spans="1:7">
      <c r="A18" s="147">
        <v>0</v>
      </c>
      <c r="B18" s="135"/>
      <c r="C18" s="305" t="s">
        <v>833</v>
      </c>
      <c r="D18" s="297" t="s">
        <v>399</v>
      </c>
      <c r="E18" s="297">
        <f>E17</f>
        <v>36</v>
      </c>
      <c r="F18" s="21"/>
      <c r="G18" s="22"/>
    </row>
    <row r="19" spans="1:7" ht="25.5">
      <c r="A19" s="147">
        <v>0</v>
      </c>
      <c r="B19" s="135"/>
      <c r="C19" s="335" t="s">
        <v>834</v>
      </c>
      <c r="D19" s="297" t="s">
        <v>399</v>
      </c>
      <c r="E19" s="308">
        <f>E17</f>
        <v>36</v>
      </c>
      <c r="F19" s="21"/>
      <c r="G19" s="22"/>
    </row>
    <row r="20" spans="1:7" ht="89.25">
      <c r="A20" s="147">
        <v>3</v>
      </c>
      <c r="B20" s="135" t="s">
        <v>746</v>
      </c>
      <c r="C20" s="127" t="s">
        <v>926</v>
      </c>
      <c r="D20" s="184" t="s">
        <v>107</v>
      </c>
      <c r="E20" s="278">
        <v>400</v>
      </c>
      <c r="F20" s="21"/>
      <c r="G20" s="22"/>
    </row>
    <row r="21" spans="1:7">
      <c r="A21" s="147">
        <v>0</v>
      </c>
      <c r="B21" s="135"/>
      <c r="C21" s="309" t="s">
        <v>927</v>
      </c>
      <c r="D21" s="201" t="s">
        <v>107</v>
      </c>
      <c r="E21" s="329">
        <f>400*1.15</f>
        <v>459.99999999999994</v>
      </c>
      <c r="F21" s="21"/>
      <c r="G21" s="22"/>
    </row>
    <row r="22" spans="1:7" ht="25.5">
      <c r="A22" s="147">
        <v>0</v>
      </c>
      <c r="B22" s="135"/>
      <c r="C22" s="310" t="s">
        <v>839</v>
      </c>
      <c r="D22" s="184" t="s">
        <v>44</v>
      </c>
      <c r="E22" s="184">
        <v>1</v>
      </c>
      <c r="F22" s="21"/>
      <c r="G22" s="22"/>
    </row>
    <row r="23" spans="1:7" ht="38.25">
      <c r="A23" s="147">
        <v>4</v>
      </c>
      <c r="B23" s="135" t="s">
        <v>746</v>
      </c>
      <c r="C23" s="127" t="s">
        <v>840</v>
      </c>
      <c r="D23" s="201" t="s">
        <v>716</v>
      </c>
      <c r="E23" s="278">
        <v>2</v>
      </c>
      <c r="F23" s="21"/>
      <c r="G23" s="22"/>
    </row>
    <row r="24" spans="1:7">
      <c r="A24" s="147">
        <v>0</v>
      </c>
      <c r="B24" s="135"/>
      <c r="C24" s="311" t="s">
        <v>841</v>
      </c>
      <c r="D24" s="201" t="s">
        <v>716</v>
      </c>
      <c r="E24" s="312">
        <f>E23*1.05</f>
        <v>2.1</v>
      </c>
      <c r="F24" s="21"/>
      <c r="G24" s="22"/>
    </row>
    <row r="25" spans="1:7">
      <c r="A25" s="147">
        <v>0</v>
      </c>
      <c r="B25" s="135"/>
      <c r="C25" s="311" t="s">
        <v>842</v>
      </c>
      <c r="D25" s="201" t="s">
        <v>843</v>
      </c>
      <c r="E25" s="312">
        <f>E23*0.25</f>
        <v>0.5</v>
      </c>
      <c r="F25" s="21"/>
      <c r="G25" s="22"/>
    </row>
    <row r="26" spans="1:7" ht="51">
      <c r="A26" s="147">
        <v>5</v>
      </c>
      <c r="B26" s="135" t="s">
        <v>746</v>
      </c>
      <c r="C26" s="127" t="s">
        <v>928</v>
      </c>
      <c r="D26" s="201" t="s">
        <v>716</v>
      </c>
      <c r="E26" s="278">
        <v>7</v>
      </c>
      <c r="F26" s="21"/>
      <c r="G26" s="22"/>
    </row>
    <row r="27" spans="1:7">
      <c r="A27" s="147">
        <v>0</v>
      </c>
      <c r="B27" s="135"/>
      <c r="C27" s="311" t="s">
        <v>929</v>
      </c>
      <c r="D27" s="201" t="s">
        <v>716</v>
      </c>
      <c r="E27" s="312">
        <f>E26*1.05</f>
        <v>7.3500000000000005</v>
      </c>
      <c r="F27" s="21"/>
      <c r="G27" s="22"/>
    </row>
    <row r="28" spans="1:7">
      <c r="A28" s="147">
        <v>0</v>
      </c>
      <c r="B28" s="135"/>
      <c r="C28" s="311" t="s">
        <v>842</v>
      </c>
      <c r="D28" s="201" t="s">
        <v>843</v>
      </c>
      <c r="E28" s="312">
        <f>E26*0.25</f>
        <v>1.75</v>
      </c>
      <c r="F28" s="21"/>
      <c r="G28" s="22"/>
    </row>
    <row r="29" spans="1:7">
      <c r="A29" s="147">
        <v>6</v>
      </c>
      <c r="B29" s="135" t="s">
        <v>673</v>
      </c>
      <c r="C29" s="331" t="s">
        <v>920</v>
      </c>
      <c r="D29" s="201" t="s">
        <v>321</v>
      </c>
      <c r="E29" s="312">
        <v>12</v>
      </c>
      <c r="F29" s="21"/>
      <c r="G29" s="22"/>
    </row>
    <row r="30" spans="1:7" ht="102">
      <c r="A30" s="147">
        <v>7</v>
      </c>
      <c r="B30" s="135" t="s">
        <v>890</v>
      </c>
      <c r="C30" s="315" t="s">
        <v>1203</v>
      </c>
      <c r="D30" s="184" t="s">
        <v>107</v>
      </c>
      <c r="E30" s="184">
        <v>1298</v>
      </c>
      <c r="F30" s="21"/>
      <c r="G30" s="22"/>
    </row>
    <row r="31" spans="1:7">
      <c r="A31" s="147">
        <v>0</v>
      </c>
      <c r="B31" s="135"/>
      <c r="C31" s="309" t="s">
        <v>930</v>
      </c>
      <c r="D31" s="184" t="s">
        <v>107</v>
      </c>
      <c r="E31" s="508">
        <f>996*1.1</f>
        <v>1095.6000000000001</v>
      </c>
      <c r="F31" s="21"/>
      <c r="G31" s="22"/>
    </row>
    <row r="32" spans="1:7">
      <c r="A32" s="147">
        <v>0</v>
      </c>
      <c r="B32" s="135"/>
      <c r="C32" s="309" t="s">
        <v>931</v>
      </c>
      <c r="D32" s="184" t="s">
        <v>107</v>
      </c>
      <c r="E32" s="508">
        <f>302*1.1</f>
        <v>332.20000000000005</v>
      </c>
      <c r="F32" s="21"/>
      <c r="G32" s="22"/>
    </row>
    <row r="33" spans="1:7">
      <c r="A33" s="147">
        <v>0</v>
      </c>
      <c r="B33" s="135"/>
      <c r="C33" s="317" t="s">
        <v>932</v>
      </c>
      <c r="D33" s="184" t="s">
        <v>44</v>
      </c>
      <c r="E33" s="201">
        <v>1</v>
      </c>
      <c r="F33" s="21"/>
      <c r="G33" s="22"/>
    </row>
    <row r="34" spans="1:7" ht="25.5">
      <c r="A34" s="96">
        <v>8</v>
      </c>
      <c r="B34" s="97" t="s">
        <v>901</v>
      </c>
      <c r="C34" s="98" t="s">
        <v>902</v>
      </c>
      <c r="D34" s="95" t="s">
        <v>711</v>
      </c>
      <c r="E34" s="99">
        <v>44</v>
      </c>
      <c r="F34" s="21"/>
      <c r="G34" s="22"/>
    </row>
    <row r="35" spans="1:7">
      <c r="A35" s="100">
        <v>0</v>
      </c>
      <c r="B35" s="97"/>
      <c r="C35" s="101" t="s">
        <v>903</v>
      </c>
      <c r="D35" s="95" t="s">
        <v>107</v>
      </c>
      <c r="E35" s="99">
        <f>1.02*E34</f>
        <v>44.88</v>
      </c>
      <c r="F35" s="21"/>
      <c r="G35" s="22"/>
    </row>
    <row r="36" spans="1:7">
      <c r="A36" s="147">
        <v>9</v>
      </c>
      <c r="B36" s="135"/>
      <c r="C36" s="331" t="s">
        <v>933</v>
      </c>
      <c r="D36" s="201" t="s">
        <v>399</v>
      </c>
      <c r="E36" s="312">
        <v>15</v>
      </c>
      <c r="F36" s="21"/>
      <c r="G36" s="22"/>
    </row>
    <row r="37" spans="1:7" ht="25.5">
      <c r="A37" s="147">
        <v>10</v>
      </c>
      <c r="B37" s="135"/>
      <c r="C37" s="315" t="s">
        <v>934</v>
      </c>
      <c r="D37" s="201" t="s">
        <v>321</v>
      </c>
      <c r="E37" s="312">
        <v>26</v>
      </c>
      <c r="F37" s="21"/>
      <c r="G37" s="22"/>
    </row>
    <row r="38" spans="1:7" ht="25.5">
      <c r="A38" s="147">
        <v>11</v>
      </c>
      <c r="B38" s="135"/>
      <c r="C38" s="315" t="s">
        <v>935</v>
      </c>
      <c r="D38" s="201" t="s">
        <v>321</v>
      </c>
      <c r="E38" s="312">
        <v>5</v>
      </c>
      <c r="F38" s="21"/>
      <c r="G38" s="22"/>
    </row>
    <row r="39" spans="1:7">
      <c r="A39" s="147">
        <v>12</v>
      </c>
      <c r="B39" s="135"/>
      <c r="C39" s="331" t="s">
        <v>936</v>
      </c>
      <c r="D39" s="201" t="s">
        <v>716</v>
      </c>
      <c r="E39" s="509">
        <v>5.6</v>
      </c>
      <c r="F39" s="21"/>
      <c r="G39" s="22"/>
    </row>
    <row r="40" spans="1:7">
      <c r="A40" s="100">
        <v>13</v>
      </c>
      <c r="B40" s="97" t="s">
        <v>937</v>
      </c>
      <c r="C40" s="98" t="s">
        <v>938</v>
      </c>
      <c r="D40" s="102" t="s">
        <v>850</v>
      </c>
      <c r="E40" s="99">
        <v>18</v>
      </c>
      <c r="F40" s="21"/>
      <c r="G40" s="22"/>
    </row>
    <row r="41" spans="1:7" ht="38.25">
      <c r="A41" s="96">
        <v>0</v>
      </c>
      <c r="B41" s="97">
        <v>0</v>
      </c>
      <c r="C41" s="336" t="s">
        <v>939</v>
      </c>
      <c r="D41" s="102" t="s">
        <v>850</v>
      </c>
      <c r="E41" s="99">
        <f>E40</f>
        <v>18</v>
      </c>
      <c r="F41" s="21"/>
      <c r="G41" s="22"/>
    </row>
    <row r="42" spans="1:7" ht="15">
      <c r="A42" s="337">
        <v>0</v>
      </c>
      <c r="B42" s="338"/>
      <c r="C42" s="339" t="s">
        <v>1204</v>
      </c>
      <c r="D42" s="319"/>
      <c r="E42" s="340"/>
      <c r="F42" s="21"/>
      <c r="G42" s="22"/>
    </row>
    <row r="43" spans="1:7">
      <c r="A43" s="108">
        <v>14</v>
      </c>
      <c r="B43" s="109" t="s">
        <v>673</v>
      </c>
      <c r="C43" s="110" t="s">
        <v>940</v>
      </c>
      <c r="D43" s="341" t="s">
        <v>711</v>
      </c>
      <c r="E43" s="278">
        <v>118</v>
      </c>
      <c r="F43" s="21"/>
      <c r="G43" s="22"/>
    </row>
    <row r="44" spans="1:7">
      <c r="A44" s="108"/>
      <c r="B44" s="511"/>
      <c r="C44" s="512" t="s">
        <v>1349</v>
      </c>
      <c r="D44" s="513"/>
      <c r="E44" s="514"/>
      <c r="F44" s="21"/>
      <c r="G44" s="22"/>
    </row>
    <row r="45" spans="1:7" ht="108.75" customHeight="1">
      <c r="A45" s="528">
        <v>14.1</v>
      </c>
      <c r="B45" s="462" t="s">
        <v>746</v>
      </c>
      <c r="C45" s="515" t="s">
        <v>1344</v>
      </c>
      <c r="D45" s="508" t="s">
        <v>107</v>
      </c>
      <c r="E45" s="514">
        <v>220</v>
      </c>
      <c r="F45" s="21"/>
      <c r="G45" s="22"/>
    </row>
    <row r="46" spans="1:7">
      <c r="A46" s="528"/>
      <c r="B46" s="462"/>
      <c r="C46" s="516" t="s">
        <v>927</v>
      </c>
      <c r="D46" s="517" t="s">
        <v>107</v>
      </c>
      <c r="E46" s="518">
        <f>220*1.15</f>
        <v>252.99999999999997</v>
      </c>
      <c r="F46" s="21"/>
      <c r="G46" s="22"/>
    </row>
    <row r="47" spans="1:7" ht="25.5">
      <c r="A47" s="528"/>
      <c r="B47" s="462"/>
      <c r="C47" s="519" t="s">
        <v>839</v>
      </c>
      <c r="D47" s="508" t="s">
        <v>44</v>
      </c>
      <c r="E47" s="508">
        <v>1</v>
      </c>
      <c r="F47" s="21"/>
      <c r="G47" s="22"/>
    </row>
    <row r="48" spans="1:7" ht="59.25" customHeight="1">
      <c r="A48" s="528">
        <v>14.2</v>
      </c>
      <c r="B48" s="462" t="s">
        <v>746</v>
      </c>
      <c r="C48" s="515" t="s">
        <v>1347</v>
      </c>
      <c r="D48" s="517" t="s">
        <v>716</v>
      </c>
      <c r="E48" s="514">
        <v>7</v>
      </c>
      <c r="F48" s="21"/>
      <c r="G48" s="22"/>
    </row>
    <row r="49" spans="1:7">
      <c r="A49" s="528"/>
      <c r="B49" s="462"/>
      <c r="C49" s="520" t="s">
        <v>929</v>
      </c>
      <c r="D49" s="517" t="s">
        <v>716</v>
      </c>
      <c r="E49" s="509">
        <f>E48*1.05</f>
        <v>7.3500000000000005</v>
      </c>
      <c r="F49" s="21"/>
      <c r="G49" s="22"/>
    </row>
    <row r="50" spans="1:7">
      <c r="A50" s="528"/>
      <c r="B50" s="462"/>
      <c r="C50" s="520" t="s">
        <v>842</v>
      </c>
      <c r="D50" s="517" t="s">
        <v>843</v>
      </c>
      <c r="E50" s="509">
        <f>E48*0.25</f>
        <v>1.75</v>
      </c>
      <c r="F50" s="21"/>
      <c r="G50" s="22"/>
    </row>
    <row r="51" spans="1:7" ht="39" customHeight="1">
      <c r="A51" s="528">
        <v>14.3</v>
      </c>
      <c r="B51" s="462" t="s">
        <v>746</v>
      </c>
      <c r="C51" s="515" t="s">
        <v>1348</v>
      </c>
      <c r="D51" s="517" t="s">
        <v>716</v>
      </c>
      <c r="E51" s="509">
        <v>1</v>
      </c>
      <c r="F51" s="21"/>
      <c r="G51" s="22"/>
    </row>
    <row r="52" spans="1:7" ht="25.5">
      <c r="A52" s="528">
        <v>14.4</v>
      </c>
      <c r="B52" s="462" t="s">
        <v>746</v>
      </c>
      <c r="C52" s="515" t="s">
        <v>1345</v>
      </c>
      <c r="D52" s="521" t="s">
        <v>716</v>
      </c>
      <c r="E52" s="522">
        <v>8</v>
      </c>
      <c r="F52" s="21"/>
      <c r="G52" s="22"/>
    </row>
    <row r="53" spans="1:7">
      <c r="A53" s="108"/>
      <c r="B53" s="462"/>
      <c r="C53" s="523" t="s">
        <v>924</v>
      </c>
      <c r="D53" s="524" t="s">
        <v>822</v>
      </c>
      <c r="E53" s="522">
        <f>E52*1.1</f>
        <v>8.8000000000000007</v>
      </c>
      <c r="F53" s="21"/>
      <c r="G53" s="22"/>
    </row>
    <row r="54" spans="1:7" ht="25.5">
      <c r="A54" s="528">
        <v>14.5</v>
      </c>
      <c r="B54" s="462" t="s">
        <v>746</v>
      </c>
      <c r="C54" s="515" t="s">
        <v>1346</v>
      </c>
      <c r="D54" s="517" t="s">
        <v>716</v>
      </c>
      <c r="E54" s="514">
        <v>5</v>
      </c>
      <c r="F54" s="21"/>
      <c r="G54" s="22"/>
    </row>
    <row r="55" spans="1:7">
      <c r="A55" s="108"/>
      <c r="B55" s="462"/>
      <c r="C55" s="520" t="s">
        <v>841</v>
      </c>
      <c r="D55" s="517" t="s">
        <v>716</v>
      </c>
      <c r="E55" s="509">
        <f>E54*1.05</f>
        <v>5.25</v>
      </c>
      <c r="F55" s="21"/>
      <c r="G55" s="22"/>
    </row>
    <row r="56" spans="1:7">
      <c r="A56" s="108"/>
      <c r="B56" s="462"/>
      <c r="C56" s="520" t="s">
        <v>842</v>
      </c>
      <c r="D56" s="517" t="s">
        <v>843</v>
      </c>
      <c r="E56" s="509">
        <f>E54*0.25</f>
        <v>1.25</v>
      </c>
      <c r="F56" s="21"/>
      <c r="G56" s="22"/>
    </row>
    <row r="57" spans="1:7" ht="25.5">
      <c r="A57" s="108">
        <v>0</v>
      </c>
      <c r="B57" s="109"/>
      <c r="C57" s="342" t="s">
        <v>941</v>
      </c>
      <c r="D57" s="341"/>
      <c r="E57" s="278"/>
      <c r="F57" s="21"/>
      <c r="G57" s="22"/>
    </row>
    <row r="58" spans="1:7" ht="25.5">
      <c r="A58" s="332">
        <v>15</v>
      </c>
      <c r="B58" s="97" t="s">
        <v>901</v>
      </c>
      <c r="C58" s="105" t="s">
        <v>942</v>
      </c>
      <c r="D58" s="102" t="s">
        <v>711</v>
      </c>
      <c r="E58" s="99">
        <v>10</v>
      </c>
      <c r="F58" s="21"/>
      <c r="G58" s="22"/>
    </row>
    <row r="59" spans="1:7">
      <c r="A59" s="332">
        <v>0</v>
      </c>
      <c r="B59" s="97">
        <v>0</v>
      </c>
      <c r="C59" s="343" t="s">
        <v>1205</v>
      </c>
      <c r="D59" s="102" t="s">
        <v>711</v>
      </c>
      <c r="E59" s="99">
        <f>1.08*E58</f>
        <v>10.8</v>
      </c>
      <c r="F59" s="21"/>
      <c r="G59" s="22"/>
    </row>
    <row r="60" spans="1:7">
      <c r="A60" s="332">
        <v>0</v>
      </c>
      <c r="B60" s="97">
        <v>0</v>
      </c>
      <c r="C60" s="343" t="s">
        <v>943</v>
      </c>
      <c r="D60" s="102" t="s">
        <v>107</v>
      </c>
      <c r="E60" s="99">
        <f>4.4*E58</f>
        <v>44</v>
      </c>
      <c r="F60" s="21"/>
      <c r="G60" s="22"/>
    </row>
    <row r="61" spans="1:7">
      <c r="A61" s="332">
        <v>0</v>
      </c>
      <c r="B61" s="97">
        <v>0</v>
      </c>
      <c r="C61" s="343" t="s">
        <v>944</v>
      </c>
      <c r="D61" s="102" t="s">
        <v>107</v>
      </c>
      <c r="E61" s="99">
        <f>0.44*E58</f>
        <v>4.4000000000000004</v>
      </c>
      <c r="F61" s="21"/>
      <c r="G61" s="22"/>
    </row>
    <row r="62" spans="1:7" ht="38.25">
      <c r="A62" s="96">
        <v>16</v>
      </c>
      <c r="B62" s="97" t="s">
        <v>901</v>
      </c>
      <c r="C62" s="98" t="s">
        <v>945</v>
      </c>
      <c r="D62" s="95" t="s">
        <v>711</v>
      </c>
      <c r="E62" s="99">
        <v>35</v>
      </c>
      <c r="F62" s="21"/>
      <c r="G62" s="22"/>
    </row>
    <row r="63" spans="1:7" ht="25.5">
      <c r="A63" s="100">
        <v>0</v>
      </c>
      <c r="B63" s="97">
        <v>0</v>
      </c>
      <c r="C63" s="336" t="s">
        <v>946</v>
      </c>
      <c r="D63" s="95" t="s">
        <v>711</v>
      </c>
      <c r="E63" s="99">
        <f>E62</f>
        <v>35</v>
      </c>
      <c r="F63" s="21"/>
      <c r="G63" s="22"/>
    </row>
    <row r="64" spans="1:7" s="17" customFormat="1">
      <c r="A64" s="28"/>
      <c r="B64" s="29"/>
      <c r="C64" s="30"/>
      <c r="D64" s="31"/>
      <c r="E64" s="12"/>
      <c r="F64" s="12"/>
      <c r="G64" s="32"/>
    </row>
    <row r="65" spans="1:7" ht="15">
      <c r="A65" s="13"/>
      <c r="B65" s="13"/>
      <c r="C65" s="18"/>
      <c r="D65" s="19"/>
      <c r="E65" s="18"/>
      <c r="F65" s="18" t="s">
        <v>6</v>
      </c>
      <c r="G65" s="20"/>
    </row>
    <row r="67" spans="1:7" s="25" customFormat="1" ht="12.75" customHeight="1">
      <c r="B67" s="26" t="str">
        <f>'1,1'!B32</f>
        <v>Piezīmes:</v>
      </c>
    </row>
    <row r="68" spans="1:7" s="25" customFormat="1" ht="45" customHeight="1">
      <c r="A68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68" s="546"/>
      <c r="C68" s="546"/>
      <c r="D68" s="546"/>
      <c r="E68" s="546"/>
      <c r="F68" s="546"/>
      <c r="G68" s="546"/>
    </row>
    <row r="69" spans="1:7" s="25" customFormat="1" ht="12.75" customHeight="1">
      <c r="A69" s="546">
        <f>'1,1'!$A$34</f>
        <v>0</v>
      </c>
      <c r="B69" s="546"/>
      <c r="C69" s="546"/>
      <c r="D69" s="546"/>
      <c r="E69" s="546"/>
      <c r="F69" s="546"/>
      <c r="G69" s="546"/>
    </row>
    <row r="70" spans="1:7" s="25" customFormat="1" ht="12.75" customHeight="1">
      <c r="B70" s="27"/>
    </row>
    <row r="71" spans="1:7">
      <c r="B71" s="5" t="str">
        <f>'1,1'!B36</f>
        <v>Sastādīja:</v>
      </c>
    </row>
    <row r="72" spans="1:7" ht="14.25" customHeight="1">
      <c r="C72" s="33" t="str">
        <f>'1,1'!C37</f>
        <v>Arnis Gailītis</v>
      </c>
    </row>
    <row r="73" spans="1:7">
      <c r="C73" s="34" t="str">
        <f>'1,1'!C38</f>
        <v>Sertifikāta Nr.20-5643</v>
      </c>
      <c r="D73" s="35"/>
    </row>
    <row r="76" spans="1:7">
      <c r="B76" s="40" t="str">
        <f>'1,1'!B41</f>
        <v>Pārbaudīja:</v>
      </c>
      <c r="C76" s="3"/>
    </row>
    <row r="77" spans="1:7">
      <c r="B77" s="2"/>
      <c r="C77" s="33" t="str">
        <f>'1,1'!C42</f>
        <v>Aivars Mauriņš</v>
      </c>
    </row>
    <row r="78" spans="1:7">
      <c r="B78" s="1"/>
      <c r="C78" s="34" t="str">
        <f>'1,1'!C43</f>
        <v>Sertifikāta Nr.20-5957</v>
      </c>
    </row>
  </sheetData>
  <mergeCells count="15">
    <mergeCell ref="A69:G69"/>
    <mergeCell ref="A68:G68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0"/>
  <sheetViews>
    <sheetView showZeros="0" tabSelected="1" view="pageBreakPreview" topLeftCell="A7" zoomScale="80" zoomScaleNormal="100" zoomScaleSheetLayoutView="80" workbookViewId="0">
      <selection activeCell="E24" sqref="E24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1.8</v>
      </c>
      <c r="E1" s="36"/>
      <c r="F1" s="36"/>
      <c r="G1" s="36"/>
    </row>
    <row r="2" spans="1:7" s="9" customFormat="1" ht="15">
      <c r="A2" s="549" t="str">
        <f>C13</f>
        <v>Jumti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/>
      <c r="C13" s="93" t="str">
        <f>[2]kops1!C28</f>
        <v>Jumti</v>
      </c>
      <c r="D13" s="94"/>
      <c r="E13" s="95"/>
      <c r="F13" s="23"/>
      <c r="G13" s="24"/>
    </row>
    <row r="14" spans="1:7">
      <c r="A14" s="134">
        <v>0</v>
      </c>
      <c r="B14" s="135"/>
      <c r="C14" s="344" t="s">
        <v>947</v>
      </c>
      <c r="D14" s="184"/>
      <c r="E14" s="278"/>
      <c r="F14" s="21"/>
      <c r="G14" s="22"/>
    </row>
    <row r="15" spans="1:7" ht="123" customHeight="1">
      <c r="A15" s="147">
        <v>1</v>
      </c>
      <c r="B15" s="135" t="s">
        <v>890</v>
      </c>
      <c r="C15" s="215" t="s">
        <v>1206</v>
      </c>
      <c r="D15" s="128" t="s">
        <v>107</v>
      </c>
      <c r="E15" s="527">
        <f>1443+155</f>
        <v>1598</v>
      </c>
      <c r="F15" s="21"/>
      <c r="G15" s="22"/>
    </row>
    <row r="16" spans="1:7">
      <c r="A16" s="147">
        <v>0</v>
      </c>
      <c r="B16" s="135"/>
      <c r="C16" s="345" t="s">
        <v>948</v>
      </c>
      <c r="D16" s="128" t="s">
        <v>107</v>
      </c>
      <c r="E16" s="202">
        <f>1180*1.1</f>
        <v>1298</v>
      </c>
      <c r="F16" s="21"/>
      <c r="G16" s="22"/>
    </row>
    <row r="17" spans="1:7">
      <c r="A17" s="147">
        <v>0</v>
      </c>
      <c r="B17" s="135"/>
      <c r="C17" s="345" t="s">
        <v>949</v>
      </c>
      <c r="D17" s="128" t="s">
        <v>107</v>
      </c>
      <c r="E17" s="202">
        <f>31*1.1</f>
        <v>34.1</v>
      </c>
      <c r="F17" s="21"/>
      <c r="G17" s="22"/>
    </row>
    <row r="18" spans="1:7">
      <c r="A18" s="147">
        <v>0</v>
      </c>
      <c r="B18" s="135"/>
      <c r="C18" s="345" t="s">
        <v>950</v>
      </c>
      <c r="D18" s="128" t="s">
        <v>107</v>
      </c>
      <c r="E18" s="202">
        <f>232*1.1</f>
        <v>255.20000000000002</v>
      </c>
      <c r="F18" s="21"/>
      <c r="G18" s="22"/>
    </row>
    <row r="19" spans="1:7">
      <c r="A19" s="147"/>
      <c r="B19" s="135"/>
      <c r="C19" s="525" t="s">
        <v>1350</v>
      </c>
      <c r="D19" s="527" t="s">
        <v>107</v>
      </c>
      <c r="E19" s="526">
        <f>155*1.1</f>
        <v>170.5</v>
      </c>
      <c r="F19" s="21"/>
      <c r="G19" s="22"/>
    </row>
    <row r="20" spans="1:7">
      <c r="A20" s="147">
        <v>0</v>
      </c>
      <c r="B20" s="135"/>
      <c r="C20" s="346" t="s">
        <v>932</v>
      </c>
      <c r="D20" s="128" t="s">
        <v>44</v>
      </c>
      <c r="E20" s="202">
        <v>1</v>
      </c>
      <c r="F20" s="21"/>
      <c r="G20" s="22"/>
    </row>
    <row r="21" spans="1:7" ht="25.5">
      <c r="A21" s="96">
        <v>2</v>
      </c>
      <c r="B21" s="97" t="s">
        <v>901</v>
      </c>
      <c r="C21" s="98" t="s">
        <v>902</v>
      </c>
      <c r="D21" s="347" t="s">
        <v>711</v>
      </c>
      <c r="E21" s="348">
        <v>53</v>
      </c>
      <c r="F21" s="21"/>
      <c r="G21" s="22"/>
    </row>
    <row r="22" spans="1:7">
      <c r="A22" s="100">
        <v>0</v>
      </c>
      <c r="B22" s="97"/>
      <c r="C22" s="336" t="s">
        <v>903</v>
      </c>
      <c r="D22" s="347" t="s">
        <v>107</v>
      </c>
      <c r="E22" s="348">
        <f>1.02*E21</f>
        <v>54.06</v>
      </c>
      <c r="F22" s="21"/>
      <c r="G22" s="22"/>
    </row>
    <row r="23" spans="1:7">
      <c r="A23" s="147">
        <v>3</v>
      </c>
      <c r="B23" s="135" t="s">
        <v>890</v>
      </c>
      <c r="C23" s="215" t="s">
        <v>951</v>
      </c>
      <c r="D23" s="128" t="s">
        <v>952</v>
      </c>
      <c r="E23" s="510">
        <v>1020</v>
      </c>
      <c r="F23" s="21"/>
      <c r="G23" s="22"/>
    </row>
    <row r="24" spans="1:7" ht="25.5">
      <c r="A24" s="147">
        <v>0</v>
      </c>
      <c r="B24" s="135"/>
      <c r="C24" s="215" t="s">
        <v>953</v>
      </c>
      <c r="D24" s="128" t="s">
        <v>952</v>
      </c>
      <c r="E24" s="510">
        <f>E23*1.15</f>
        <v>1173</v>
      </c>
      <c r="F24" s="21"/>
      <c r="G24" s="22"/>
    </row>
    <row r="25" spans="1:7">
      <c r="A25" s="147">
        <v>0</v>
      </c>
      <c r="B25" s="135"/>
      <c r="C25" s="215" t="s">
        <v>954</v>
      </c>
      <c r="D25" s="128" t="s">
        <v>44</v>
      </c>
      <c r="E25" s="128">
        <v>1</v>
      </c>
      <c r="F25" s="21"/>
      <c r="G25" s="22"/>
    </row>
    <row r="26" spans="1:7">
      <c r="A26" s="147">
        <v>0</v>
      </c>
      <c r="B26" s="135"/>
      <c r="C26" s="349"/>
      <c r="D26" s="350"/>
      <c r="E26" s="350"/>
      <c r="F26" s="21"/>
      <c r="G26" s="22"/>
    </row>
    <row r="27" spans="1:7">
      <c r="A27" s="147">
        <v>0</v>
      </c>
      <c r="B27" s="135"/>
      <c r="C27" s="351" t="s">
        <v>955</v>
      </c>
      <c r="D27" s="350"/>
      <c r="E27" s="350"/>
      <c r="F27" s="21"/>
      <c r="G27" s="22"/>
    </row>
    <row r="28" spans="1:7" ht="102">
      <c r="A28" s="147">
        <v>4</v>
      </c>
      <c r="B28" s="135" t="s">
        <v>890</v>
      </c>
      <c r="C28" s="315" t="s">
        <v>1207</v>
      </c>
      <c r="D28" s="128" t="s">
        <v>107</v>
      </c>
      <c r="E28" s="128">
        <f>667+181</f>
        <v>848</v>
      </c>
      <c r="F28" s="21"/>
      <c r="G28" s="22"/>
    </row>
    <row r="29" spans="1:7">
      <c r="A29" s="147">
        <v>0</v>
      </c>
      <c r="B29" s="135"/>
      <c r="C29" s="352" t="s">
        <v>956</v>
      </c>
      <c r="D29" s="128" t="s">
        <v>107</v>
      </c>
      <c r="E29" s="350">
        <f>667*1.1</f>
        <v>733.7</v>
      </c>
      <c r="F29" s="21"/>
      <c r="G29" s="22"/>
    </row>
    <row r="30" spans="1:7">
      <c r="A30" s="147">
        <v>0</v>
      </c>
      <c r="B30" s="135"/>
      <c r="C30" s="352" t="s">
        <v>931</v>
      </c>
      <c r="D30" s="128" t="s">
        <v>107</v>
      </c>
      <c r="E30" s="350">
        <f>181*1.1</f>
        <v>199.10000000000002</v>
      </c>
      <c r="F30" s="21"/>
      <c r="G30" s="22"/>
    </row>
    <row r="31" spans="1:7" ht="25.5">
      <c r="A31" s="96">
        <v>5</v>
      </c>
      <c r="B31" s="97" t="s">
        <v>901</v>
      </c>
      <c r="C31" s="98" t="s">
        <v>902</v>
      </c>
      <c r="D31" s="347" t="s">
        <v>711</v>
      </c>
      <c r="E31" s="348">
        <v>31</v>
      </c>
      <c r="F31" s="21"/>
      <c r="G31" s="22"/>
    </row>
    <row r="32" spans="1:7">
      <c r="A32" s="100">
        <v>0</v>
      </c>
      <c r="B32" s="97"/>
      <c r="C32" s="101" t="s">
        <v>903</v>
      </c>
      <c r="D32" s="347" t="s">
        <v>107</v>
      </c>
      <c r="E32" s="348">
        <f>1.02*E31</f>
        <v>31.62</v>
      </c>
      <c r="F32" s="21"/>
      <c r="G32" s="22"/>
    </row>
    <row r="33" spans="1:7" ht="38.25">
      <c r="A33" s="147">
        <v>6</v>
      </c>
      <c r="B33" s="135" t="s">
        <v>957</v>
      </c>
      <c r="C33" s="315" t="s">
        <v>958</v>
      </c>
      <c r="D33" s="112" t="s">
        <v>716</v>
      </c>
      <c r="E33" s="112">
        <v>1</v>
      </c>
      <c r="F33" s="21"/>
      <c r="G33" s="22"/>
    </row>
    <row r="34" spans="1:7">
      <c r="A34" s="147">
        <v>0</v>
      </c>
      <c r="B34" s="135"/>
      <c r="C34" s="352" t="s">
        <v>959</v>
      </c>
      <c r="D34" s="112" t="s">
        <v>716</v>
      </c>
      <c r="E34" s="350">
        <f>E33*1.15</f>
        <v>1.1499999999999999</v>
      </c>
      <c r="F34" s="21"/>
      <c r="G34" s="22"/>
    </row>
    <row r="35" spans="1:7">
      <c r="A35" s="147">
        <v>0</v>
      </c>
      <c r="B35" s="135"/>
      <c r="C35" s="352" t="s">
        <v>960</v>
      </c>
      <c r="D35" s="350" t="s">
        <v>44</v>
      </c>
      <c r="E35" s="350">
        <v>1</v>
      </c>
      <c r="F35" s="21"/>
      <c r="G35" s="22"/>
    </row>
    <row r="36" spans="1:7">
      <c r="A36" s="147">
        <v>6.2</v>
      </c>
      <c r="B36" s="135" t="s">
        <v>673</v>
      </c>
      <c r="C36" s="331" t="s">
        <v>961</v>
      </c>
      <c r="D36" s="202" t="s">
        <v>321</v>
      </c>
      <c r="E36" s="353">
        <v>13</v>
      </c>
      <c r="F36" s="21"/>
      <c r="G36" s="22"/>
    </row>
    <row r="37" spans="1:7">
      <c r="A37" s="535">
        <v>6.3</v>
      </c>
      <c r="B37" s="536" t="s">
        <v>673</v>
      </c>
      <c r="C37" s="537" t="s">
        <v>1359</v>
      </c>
      <c r="D37" s="538" t="s">
        <v>711</v>
      </c>
      <c r="E37" s="541">
        <f>E47</f>
        <v>60</v>
      </c>
      <c r="F37" s="21"/>
      <c r="G37" s="22"/>
    </row>
    <row r="38" spans="1:7">
      <c r="A38" s="535">
        <v>0</v>
      </c>
      <c r="B38" s="539">
        <v>0</v>
      </c>
      <c r="C38" s="540" t="s">
        <v>1360</v>
      </c>
      <c r="D38" s="538" t="s">
        <v>711</v>
      </c>
      <c r="E38" s="538">
        <f>E37*1.1</f>
        <v>66</v>
      </c>
      <c r="F38" s="21"/>
      <c r="G38" s="22"/>
    </row>
    <row r="39" spans="1:7">
      <c r="A39" s="535">
        <v>6.4</v>
      </c>
      <c r="B39" s="536" t="s">
        <v>852</v>
      </c>
      <c r="C39" s="537" t="s">
        <v>968</v>
      </c>
      <c r="D39" s="538" t="s">
        <v>33</v>
      </c>
      <c r="E39" s="538">
        <f>E49*4/0.6</f>
        <v>400</v>
      </c>
      <c r="F39" s="21"/>
      <c r="G39" s="22"/>
    </row>
    <row r="40" spans="1:7">
      <c r="A40" s="535">
        <v>0</v>
      </c>
      <c r="B40" s="539">
        <v>0</v>
      </c>
      <c r="C40" s="540" t="s">
        <v>969</v>
      </c>
      <c r="D40" s="538" t="s">
        <v>33</v>
      </c>
      <c r="E40" s="538">
        <f>E39*1.1</f>
        <v>440.00000000000006</v>
      </c>
      <c r="F40" s="21"/>
      <c r="G40" s="22"/>
    </row>
    <row r="41" spans="1:7">
      <c r="A41" s="542">
        <v>0</v>
      </c>
      <c r="B41" s="539">
        <v>0</v>
      </c>
      <c r="C41" s="540" t="s">
        <v>970</v>
      </c>
      <c r="D41" s="538" t="s">
        <v>33</v>
      </c>
      <c r="E41" s="538">
        <f>E39</f>
        <v>400</v>
      </c>
      <c r="F41" s="21"/>
      <c r="G41" s="22"/>
    </row>
    <row r="42" spans="1:7">
      <c r="A42" s="543">
        <v>6.5</v>
      </c>
      <c r="B42" s="536" t="s">
        <v>857</v>
      </c>
      <c r="C42" s="537" t="s">
        <v>971</v>
      </c>
      <c r="D42" s="538" t="s">
        <v>711</v>
      </c>
      <c r="E42" s="544">
        <f>60*4</f>
        <v>240</v>
      </c>
      <c r="F42" s="21"/>
      <c r="G42" s="22"/>
    </row>
    <row r="43" spans="1:7">
      <c r="A43" s="545">
        <v>0</v>
      </c>
      <c r="B43" s="536">
        <v>0</v>
      </c>
      <c r="C43" s="540" t="s">
        <v>1199</v>
      </c>
      <c r="D43" s="538" t="s">
        <v>711</v>
      </c>
      <c r="E43" s="544">
        <f>1.05*E42</f>
        <v>252</v>
      </c>
      <c r="F43" s="21"/>
      <c r="G43" s="22"/>
    </row>
    <row r="44" spans="1:7">
      <c r="A44" s="535">
        <v>6.6</v>
      </c>
      <c r="B44" s="536" t="s">
        <v>852</v>
      </c>
      <c r="C44" s="537" t="s">
        <v>972</v>
      </c>
      <c r="D44" s="538" t="s">
        <v>33</v>
      </c>
      <c r="E44" s="538">
        <f>60/0.6</f>
        <v>100</v>
      </c>
      <c r="F44" s="21"/>
      <c r="G44" s="22"/>
    </row>
    <row r="45" spans="1:7">
      <c r="A45" s="535">
        <v>0</v>
      </c>
      <c r="B45" s="539">
        <v>0</v>
      </c>
      <c r="C45" s="540" t="s">
        <v>973</v>
      </c>
      <c r="D45" s="538" t="s">
        <v>33</v>
      </c>
      <c r="E45" s="538">
        <f>E44*1.1</f>
        <v>110.00000000000001</v>
      </c>
      <c r="F45" s="21"/>
      <c r="G45" s="22"/>
    </row>
    <row r="46" spans="1:7">
      <c r="A46" s="542">
        <v>0</v>
      </c>
      <c r="B46" s="539">
        <v>0</v>
      </c>
      <c r="C46" s="540" t="s">
        <v>970</v>
      </c>
      <c r="D46" s="538" t="s">
        <v>33</v>
      </c>
      <c r="E46" s="538">
        <f>E44</f>
        <v>100</v>
      </c>
      <c r="F46" s="21"/>
      <c r="G46" s="22"/>
    </row>
    <row r="47" spans="1:7">
      <c r="A47" s="543">
        <v>6.7</v>
      </c>
      <c r="B47" s="536" t="s">
        <v>857</v>
      </c>
      <c r="C47" s="537" t="s">
        <v>1209</v>
      </c>
      <c r="D47" s="538" t="s">
        <v>711</v>
      </c>
      <c r="E47" s="544">
        <v>60</v>
      </c>
      <c r="F47" s="21"/>
      <c r="G47" s="22"/>
    </row>
    <row r="48" spans="1:7">
      <c r="A48" s="545">
        <v>0</v>
      </c>
      <c r="B48" s="536">
        <v>0</v>
      </c>
      <c r="C48" s="540" t="s">
        <v>1198</v>
      </c>
      <c r="D48" s="538" t="s">
        <v>711</v>
      </c>
      <c r="E48" s="544">
        <f>1.05*E47</f>
        <v>63</v>
      </c>
      <c r="F48" s="21"/>
      <c r="G48" s="22"/>
    </row>
    <row r="49" spans="1:7">
      <c r="A49" s="147">
        <v>7</v>
      </c>
      <c r="B49" s="135" t="s">
        <v>957</v>
      </c>
      <c r="C49" s="354" t="s">
        <v>962</v>
      </c>
      <c r="D49" s="350" t="s">
        <v>399</v>
      </c>
      <c r="E49" s="350">
        <v>60</v>
      </c>
      <c r="F49" s="21"/>
      <c r="G49" s="22"/>
    </row>
    <row r="50" spans="1:7">
      <c r="A50" s="147">
        <v>0</v>
      </c>
      <c r="B50" s="135"/>
      <c r="C50" s="352" t="s">
        <v>1208</v>
      </c>
      <c r="D50" s="350" t="s">
        <v>399</v>
      </c>
      <c r="E50" s="350">
        <f>E49*1.1</f>
        <v>66</v>
      </c>
      <c r="F50" s="21"/>
      <c r="G50" s="22"/>
    </row>
    <row r="51" spans="1:7">
      <c r="A51" s="147">
        <v>0</v>
      </c>
      <c r="B51" s="135"/>
      <c r="C51" s="352" t="s">
        <v>51</v>
      </c>
      <c r="D51" s="350" t="s">
        <v>44</v>
      </c>
      <c r="E51" s="350">
        <v>1</v>
      </c>
      <c r="F51" s="21"/>
      <c r="G51" s="22"/>
    </row>
    <row r="52" spans="1:7" ht="25.5">
      <c r="A52" s="96">
        <v>8</v>
      </c>
      <c r="B52" s="97" t="s">
        <v>963</v>
      </c>
      <c r="C52" s="98" t="s">
        <v>964</v>
      </c>
      <c r="D52" s="347" t="s">
        <v>711</v>
      </c>
      <c r="E52" s="355">
        <v>60</v>
      </c>
      <c r="F52" s="21"/>
      <c r="G52" s="22"/>
    </row>
    <row r="53" spans="1:7" ht="25.5">
      <c r="A53" s="100">
        <v>0</v>
      </c>
      <c r="B53" s="97">
        <v>0</v>
      </c>
      <c r="C53" s="101" t="s">
        <v>965</v>
      </c>
      <c r="D53" s="347" t="s">
        <v>711</v>
      </c>
      <c r="E53" s="355">
        <f>1.17*E52</f>
        <v>70.199999999999989</v>
      </c>
      <c r="F53" s="21"/>
      <c r="G53" s="22"/>
    </row>
    <row r="54" spans="1:7" ht="25.5">
      <c r="A54" s="96">
        <v>0</v>
      </c>
      <c r="B54" s="97">
        <v>0</v>
      </c>
      <c r="C54" s="101" t="s">
        <v>966</v>
      </c>
      <c r="D54" s="347" t="s">
        <v>711</v>
      </c>
      <c r="E54" s="355">
        <f>1.17*E52</f>
        <v>70.199999999999989</v>
      </c>
      <c r="F54" s="21"/>
      <c r="G54" s="22"/>
    </row>
    <row r="55" spans="1:7">
      <c r="A55" s="134">
        <v>0</v>
      </c>
      <c r="B55" s="135"/>
      <c r="C55" s="344" t="s">
        <v>967</v>
      </c>
      <c r="D55" s="128"/>
      <c r="E55" s="112"/>
      <c r="F55" s="21"/>
      <c r="G55" s="22"/>
    </row>
    <row r="56" spans="1:7">
      <c r="A56" s="535">
        <v>8.1999999999999993</v>
      </c>
      <c r="B56" s="536" t="s">
        <v>673</v>
      </c>
      <c r="C56" s="537" t="s">
        <v>1361</v>
      </c>
      <c r="D56" s="538" t="s">
        <v>822</v>
      </c>
      <c r="E56" s="538">
        <v>43.31</v>
      </c>
      <c r="F56" s="21"/>
      <c r="G56" s="22"/>
    </row>
    <row r="57" spans="1:7">
      <c r="A57" s="535">
        <v>0</v>
      </c>
      <c r="B57" s="539">
        <v>0</v>
      </c>
      <c r="C57" s="540" t="s">
        <v>1356</v>
      </c>
      <c r="D57" s="538" t="s">
        <v>822</v>
      </c>
      <c r="E57" s="541">
        <f>1.1*E56</f>
        <v>47.641000000000005</v>
      </c>
      <c r="F57" s="21"/>
      <c r="G57" s="22"/>
    </row>
    <row r="58" spans="1:7">
      <c r="A58" s="535">
        <v>8.3000000000000007</v>
      </c>
      <c r="B58" s="536" t="s">
        <v>673</v>
      </c>
      <c r="C58" s="537" t="s">
        <v>1357</v>
      </c>
      <c r="D58" s="538" t="s">
        <v>711</v>
      </c>
      <c r="E58" s="538">
        <v>275</v>
      </c>
      <c r="F58" s="21"/>
      <c r="G58" s="22"/>
    </row>
    <row r="59" spans="1:7">
      <c r="A59" s="535">
        <v>0</v>
      </c>
      <c r="B59" s="539">
        <v>0</v>
      </c>
      <c r="C59" s="540" t="s">
        <v>1358</v>
      </c>
      <c r="D59" s="538" t="s">
        <v>822</v>
      </c>
      <c r="E59" s="538">
        <f>0.05*1.1*E58</f>
        <v>15.125000000000002</v>
      </c>
      <c r="F59" s="21"/>
      <c r="G59" s="22"/>
    </row>
    <row r="60" spans="1:7">
      <c r="A60" s="535">
        <v>8.4</v>
      </c>
      <c r="B60" s="536" t="s">
        <v>673</v>
      </c>
      <c r="C60" s="537" t="s">
        <v>1359</v>
      </c>
      <c r="D60" s="538" t="s">
        <v>711</v>
      </c>
      <c r="E60" s="541">
        <f>E70</f>
        <v>1200</v>
      </c>
      <c r="F60" s="21"/>
      <c r="G60" s="22"/>
    </row>
    <row r="61" spans="1:7">
      <c r="A61" s="535">
        <v>0</v>
      </c>
      <c r="B61" s="539">
        <v>0</v>
      </c>
      <c r="C61" s="540" t="s">
        <v>1360</v>
      </c>
      <c r="D61" s="538" t="s">
        <v>711</v>
      </c>
      <c r="E61" s="538">
        <f>E60*1.1</f>
        <v>1320</v>
      </c>
      <c r="F61" s="21"/>
      <c r="G61" s="22"/>
    </row>
    <row r="62" spans="1:7">
      <c r="A62" s="332">
        <v>9</v>
      </c>
      <c r="B62" s="97" t="s">
        <v>852</v>
      </c>
      <c r="C62" s="98" t="s">
        <v>968</v>
      </c>
      <c r="D62" s="347" t="s">
        <v>33</v>
      </c>
      <c r="E62" s="491">
        <f>E72*4/0.6</f>
        <v>8000</v>
      </c>
      <c r="F62" s="21"/>
      <c r="G62" s="22"/>
    </row>
    <row r="63" spans="1:7">
      <c r="A63" s="332">
        <v>0</v>
      </c>
      <c r="B63" s="356">
        <v>0</v>
      </c>
      <c r="C63" s="101" t="s">
        <v>969</v>
      </c>
      <c r="D63" s="347" t="s">
        <v>33</v>
      </c>
      <c r="E63" s="491">
        <f>E62*1.1</f>
        <v>8800</v>
      </c>
      <c r="F63" s="21"/>
      <c r="G63" s="22"/>
    </row>
    <row r="64" spans="1:7">
      <c r="A64" s="357">
        <v>0</v>
      </c>
      <c r="B64" s="356">
        <v>0</v>
      </c>
      <c r="C64" s="101" t="s">
        <v>970</v>
      </c>
      <c r="D64" s="347" t="s">
        <v>33</v>
      </c>
      <c r="E64" s="491">
        <f>E62</f>
        <v>8000</v>
      </c>
      <c r="F64" s="21"/>
      <c r="G64" s="22"/>
    </row>
    <row r="65" spans="1:7">
      <c r="A65" s="96">
        <v>10</v>
      </c>
      <c r="B65" s="97" t="s">
        <v>857</v>
      </c>
      <c r="C65" s="98" t="s">
        <v>971</v>
      </c>
      <c r="D65" s="347" t="s">
        <v>711</v>
      </c>
      <c r="E65" s="348">
        <f>1200*4</f>
        <v>4800</v>
      </c>
      <c r="F65" s="21"/>
      <c r="G65" s="22"/>
    </row>
    <row r="66" spans="1:7">
      <c r="A66" s="100">
        <v>0</v>
      </c>
      <c r="B66" s="97">
        <v>0</v>
      </c>
      <c r="C66" s="101" t="s">
        <v>1199</v>
      </c>
      <c r="D66" s="347" t="s">
        <v>711</v>
      </c>
      <c r="E66" s="348">
        <f>1.05*E65</f>
        <v>5040</v>
      </c>
      <c r="F66" s="21"/>
      <c r="G66" s="22"/>
    </row>
    <row r="67" spans="1:7">
      <c r="A67" s="332">
        <v>11</v>
      </c>
      <c r="B67" s="97" t="s">
        <v>852</v>
      </c>
      <c r="C67" s="98" t="s">
        <v>972</v>
      </c>
      <c r="D67" s="347" t="s">
        <v>33</v>
      </c>
      <c r="E67" s="491">
        <f>1200/0.6</f>
        <v>2000</v>
      </c>
      <c r="F67" s="21"/>
      <c r="G67" s="22"/>
    </row>
    <row r="68" spans="1:7">
      <c r="A68" s="332">
        <v>0</v>
      </c>
      <c r="B68" s="356">
        <v>0</v>
      </c>
      <c r="C68" s="101" t="s">
        <v>973</v>
      </c>
      <c r="D68" s="347" t="s">
        <v>33</v>
      </c>
      <c r="E68" s="491">
        <f>E67*1.1</f>
        <v>2200</v>
      </c>
      <c r="F68" s="21"/>
      <c r="G68" s="22"/>
    </row>
    <row r="69" spans="1:7">
      <c r="A69" s="357">
        <v>0</v>
      </c>
      <c r="B69" s="356">
        <v>0</v>
      </c>
      <c r="C69" s="101" t="s">
        <v>970</v>
      </c>
      <c r="D69" s="347" t="s">
        <v>33</v>
      </c>
      <c r="E69" s="491">
        <f>E67</f>
        <v>2000</v>
      </c>
      <c r="F69" s="21"/>
      <c r="G69" s="22"/>
    </row>
    <row r="70" spans="1:7">
      <c r="A70" s="96">
        <v>12</v>
      </c>
      <c r="B70" s="97" t="s">
        <v>857</v>
      </c>
      <c r="C70" s="98" t="s">
        <v>1209</v>
      </c>
      <c r="D70" s="347" t="s">
        <v>711</v>
      </c>
      <c r="E70" s="348">
        <v>1200</v>
      </c>
      <c r="F70" s="21"/>
      <c r="G70" s="22"/>
    </row>
    <row r="71" spans="1:7">
      <c r="A71" s="100">
        <v>0</v>
      </c>
      <c r="B71" s="97">
        <v>0</v>
      </c>
      <c r="C71" s="101" t="s">
        <v>1198</v>
      </c>
      <c r="D71" s="347" t="s">
        <v>711</v>
      </c>
      <c r="E71" s="348">
        <f>1.05*E70</f>
        <v>1260</v>
      </c>
      <c r="F71" s="21"/>
      <c r="G71" s="22"/>
    </row>
    <row r="72" spans="1:7">
      <c r="A72" s="96">
        <v>13</v>
      </c>
      <c r="B72" s="97" t="s">
        <v>852</v>
      </c>
      <c r="C72" s="98" t="s">
        <v>1232</v>
      </c>
      <c r="D72" s="347" t="s">
        <v>711</v>
      </c>
      <c r="E72" s="348">
        <v>1200</v>
      </c>
      <c r="F72" s="21"/>
      <c r="G72" s="22"/>
    </row>
    <row r="73" spans="1:7">
      <c r="A73" s="100">
        <v>0</v>
      </c>
      <c r="B73" s="97">
        <v>0</v>
      </c>
      <c r="C73" s="101" t="s">
        <v>1233</v>
      </c>
      <c r="D73" s="347" t="s">
        <v>711</v>
      </c>
      <c r="E73" s="348">
        <f>1.1*E72</f>
        <v>1320</v>
      </c>
      <c r="F73" s="21"/>
      <c r="G73" s="22"/>
    </row>
    <row r="74" spans="1:7">
      <c r="A74" s="96">
        <v>0</v>
      </c>
      <c r="B74" s="97">
        <v>0</v>
      </c>
      <c r="C74" s="101" t="s">
        <v>1210</v>
      </c>
      <c r="D74" s="347" t="s">
        <v>856</v>
      </c>
      <c r="E74" s="348">
        <f>0.08*E72</f>
        <v>96</v>
      </c>
      <c r="F74" s="21"/>
      <c r="G74" s="22"/>
    </row>
    <row r="75" spans="1:7" ht="25.5">
      <c r="A75" s="96">
        <v>14</v>
      </c>
      <c r="B75" s="97" t="s">
        <v>963</v>
      </c>
      <c r="C75" s="98" t="s">
        <v>964</v>
      </c>
      <c r="D75" s="347" t="s">
        <v>711</v>
      </c>
      <c r="E75" s="355">
        <v>1200</v>
      </c>
      <c r="F75" s="21"/>
      <c r="G75" s="22"/>
    </row>
    <row r="76" spans="1:7" ht="32.25" customHeight="1">
      <c r="A76" s="100">
        <v>0</v>
      </c>
      <c r="B76" s="97">
        <v>0</v>
      </c>
      <c r="C76" s="101" t="s">
        <v>965</v>
      </c>
      <c r="D76" s="347" t="s">
        <v>711</v>
      </c>
      <c r="E76" s="355">
        <f>1.17*E75</f>
        <v>1404</v>
      </c>
      <c r="F76" s="21"/>
      <c r="G76" s="22"/>
    </row>
    <row r="77" spans="1:7" ht="35.25" customHeight="1">
      <c r="A77" s="96">
        <v>0</v>
      </c>
      <c r="B77" s="97">
        <v>0</v>
      </c>
      <c r="C77" s="101" t="s">
        <v>966</v>
      </c>
      <c r="D77" s="347" t="s">
        <v>711</v>
      </c>
      <c r="E77" s="355">
        <f>1.17*E75</f>
        <v>1404</v>
      </c>
      <c r="F77" s="21"/>
      <c r="G77" s="22"/>
    </row>
    <row r="78" spans="1:7">
      <c r="A78" s="332">
        <v>15</v>
      </c>
      <c r="B78" s="97" t="s">
        <v>963</v>
      </c>
      <c r="C78" s="105" t="s">
        <v>974</v>
      </c>
      <c r="D78" s="358" t="s">
        <v>20</v>
      </c>
      <c r="E78" s="348">
        <v>12</v>
      </c>
      <c r="F78" s="21"/>
      <c r="G78" s="22"/>
    </row>
    <row r="79" spans="1:7">
      <c r="A79" s="332">
        <v>0</v>
      </c>
      <c r="B79" s="97">
        <v>0</v>
      </c>
      <c r="C79" s="343" t="s">
        <v>1211</v>
      </c>
      <c r="D79" s="358" t="s">
        <v>20</v>
      </c>
      <c r="E79" s="348">
        <f>E78</f>
        <v>12</v>
      </c>
      <c r="F79" s="21"/>
      <c r="G79" s="22"/>
    </row>
    <row r="80" spans="1:7">
      <c r="A80" s="96">
        <v>16</v>
      </c>
      <c r="B80" s="97" t="s">
        <v>963</v>
      </c>
      <c r="C80" s="98" t="s">
        <v>975</v>
      </c>
      <c r="D80" s="358" t="s">
        <v>850</v>
      </c>
      <c r="E80" s="366">
        <v>155</v>
      </c>
      <c r="F80" s="21"/>
      <c r="G80" s="22"/>
    </row>
    <row r="81" spans="1:7" ht="25.5">
      <c r="A81" s="96">
        <v>17</v>
      </c>
      <c r="B81" s="97" t="s">
        <v>963</v>
      </c>
      <c r="C81" s="98" t="s">
        <v>1230</v>
      </c>
      <c r="D81" s="358" t="s">
        <v>850</v>
      </c>
      <c r="E81" s="348">
        <v>80</v>
      </c>
      <c r="F81" s="21"/>
      <c r="G81" s="22"/>
    </row>
    <row r="82" spans="1:7" ht="25.5">
      <c r="A82" s="96">
        <v>18</v>
      </c>
      <c r="B82" s="97" t="s">
        <v>673</v>
      </c>
      <c r="C82" s="98" t="s">
        <v>976</v>
      </c>
      <c r="D82" s="358" t="s">
        <v>850</v>
      </c>
      <c r="E82" s="348">
        <v>4.5</v>
      </c>
      <c r="F82" s="21"/>
      <c r="G82" s="22"/>
    </row>
    <row r="83" spans="1:7">
      <c r="A83" s="96">
        <v>19</v>
      </c>
      <c r="B83" s="97" t="s">
        <v>963</v>
      </c>
      <c r="C83" s="98" t="s">
        <v>977</v>
      </c>
      <c r="D83" s="358" t="s">
        <v>850</v>
      </c>
      <c r="E83" s="348">
        <v>50</v>
      </c>
      <c r="F83" s="21"/>
      <c r="G83" s="22"/>
    </row>
    <row r="84" spans="1:7" ht="25.5">
      <c r="A84" s="96">
        <v>20</v>
      </c>
      <c r="B84" s="97" t="s">
        <v>963</v>
      </c>
      <c r="C84" s="98" t="s">
        <v>978</v>
      </c>
      <c r="D84" s="358" t="s">
        <v>711</v>
      </c>
      <c r="E84" s="348">
        <v>185</v>
      </c>
      <c r="F84" s="21"/>
      <c r="G84" s="22"/>
    </row>
    <row r="85" spans="1:7" s="17" customFormat="1">
      <c r="A85" s="96">
        <v>21</v>
      </c>
      <c r="B85" s="97" t="s">
        <v>963</v>
      </c>
      <c r="C85" s="98" t="s">
        <v>1102</v>
      </c>
      <c r="D85" s="358" t="s">
        <v>694</v>
      </c>
      <c r="E85" s="348">
        <v>1</v>
      </c>
      <c r="F85" s="12"/>
      <c r="G85" s="32"/>
    </row>
    <row r="86" spans="1:7" ht="25.5">
      <c r="A86" s="96">
        <v>22</v>
      </c>
      <c r="B86" s="97" t="s">
        <v>963</v>
      </c>
      <c r="C86" s="98" t="s">
        <v>1231</v>
      </c>
      <c r="D86" s="365" t="s">
        <v>694</v>
      </c>
      <c r="E86" s="366">
        <v>1</v>
      </c>
      <c r="F86" s="21"/>
      <c r="G86" s="22"/>
    </row>
    <row r="87" spans="1:7" ht="15">
      <c r="A87" s="13"/>
      <c r="B87" s="13"/>
      <c r="C87" s="18"/>
      <c r="D87" s="19"/>
      <c r="E87" s="18"/>
      <c r="F87" s="18" t="s">
        <v>6</v>
      </c>
      <c r="G87" s="20"/>
    </row>
    <row r="89" spans="1:7" s="25" customFormat="1" ht="12.75" customHeight="1">
      <c r="B89" s="26" t="str">
        <f>'1,1'!B32</f>
        <v>Piezīmes:</v>
      </c>
    </row>
    <row r="90" spans="1:7" s="25" customFormat="1" ht="45" customHeight="1">
      <c r="A90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90" s="546"/>
      <c r="C90" s="546"/>
      <c r="D90" s="546"/>
      <c r="E90" s="546"/>
      <c r="F90" s="546"/>
      <c r="G90" s="546"/>
    </row>
    <row r="91" spans="1:7" s="25" customFormat="1" ht="12.75" customHeight="1">
      <c r="A91" s="546">
        <f>'1,1'!$A$34</f>
        <v>0</v>
      </c>
      <c r="B91" s="546"/>
      <c r="C91" s="546"/>
      <c r="D91" s="546"/>
      <c r="E91" s="546"/>
      <c r="F91" s="546"/>
      <c r="G91" s="546"/>
    </row>
    <row r="92" spans="1:7" s="25" customFormat="1" ht="12.75" customHeight="1">
      <c r="B92" s="27"/>
    </row>
    <row r="93" spans="1:7">
      <c r="B93" s="5" t="str">
        <f>'1,1'!B36</f>
        <v>Sastādīja:</v>
      </c>
    </row>
    <row r="94" spans="1:7" ht="14.25" customHeight="1">
      <c r="C94" s="33" t="str">
        <f>'1,1'!C37</f>
        <v>Arnis Gailītis</v>
      </c>
    </row>
    <row r="95" spans="1:7">
      <c r="C95" s="34" t="str">
        <f>'1,1'!C38</f>
        <v>Sertifikāta Nr.20-5643</v>
      </c>
      <c r="D95" s="35"/>
    </row>
    <row r="98" spans="2:3">
      <c r="B98" s="40" t="str">
        <f>'1,1'!B41</f>
        <v>Pārbaudīja:</v>
      </c>
      <c r="C98" s="3"/>
    </row>
    <row r="99" spans="2:3">
      <c r="B99" s="2"/>
      <c r="C99" s="33" t="str">
        <f>'1,1'!C42</f>
        <v>Aivars Mauriņš</v>
      </c>
    </row>
    <row r="100" spans="2:3">
      <c r="B100" s="1"/>
      <c r="C100" s="34" t="str">
        <f>'1,1'!C43</f>
        <v>Sertifikāta Nr.20-5957</v>
      </c>
    </row>
  </sheetData>
  <mergeCells count="15">
    <mergeCell ref="A91:G91"/>
    <mergeCell ref="A90:G9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4"/>
  <sheetViews>
    <sheetView showZeros="0" view="pageBreakPreview" zoomScale="80" zoomScaleNormal="100" zoomScaleSheetLayoutView="80" workbookViewId="0">
      <selection activeCell="C27" sqref="C27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48" t="s">
        <v>17</v>
      </c>
      <c r="B1" s="548"/>
      <c r="C1" s="548"/>
      <c r="D1" s="36">
        <v>1.9</v>
      </c>
      <c r="E1" s="36"/>
      <c r="F1" s="36"/>
      <c r="G1" s="36"/>
    </row>
    <row r="2" spans="1:7" s="9" customFormat="1" ht="15">
      <c r="A2" s="549" t="str">
        <f>C13</f>
        <v>Grīdas</v>
      </c>
      <c r="B2" s="549"/>
      <c r="C2" s="549"/>
      <c r="D2" s="549"/>
      <c r="E2" s="549"/>
      <c r="F2" s="549"/>
      <c r="G2" s="549"/>
    </row>
    <row r="3" spans="1:7" ht="47.25" customHeight="1">
      <c r="A3" s="6"/>
      <c r="B3" s="6" t="s">
        <v>2</v>
      </c>
      <c r="C3" s="557" t="str">
        <f>'1,1'!C3:G3</f>
        <v>Jelgavas 2.internātpamatskola</v>
      </c>
      <c r="D3" s="557"/>
      <c r="E3" s="557"/>
      <c r="F3" s="557"/>
      <c r="G3" s="557"/>
    </row>
    <row r="4" spans="1:7" ht="40.5" customHeight="1">
      <c r="A4" s="6"/>
      <c r="B4" s="6" t="s">
        <v>3</v>
      </c>
      <c r="C4" s="557" t="str">
        <f>'1,1'!C4:G4</f>
        <v>„Jelgavas 2.internātpamatskolas” rekonstrukcija, sporta zāles ar rehabilitācijas telpām jaunbūve, teritorijas labiekārtošana 1. kārta</v>
      </c>
      <c r="D4" s="557"/>
      <c r="E4" s="557"/>
      <c r="F4" s="557"/>
      <c r="G4" s="557"/>
    </row>
    <row r="5" spans="1:7" ht="15">
      <c r="A5" s="6"/>
      <c r="B5" s="6" t="s">
        <v>4</v>
      </c>
      <c r="C5" s="557" t="str">
        <f>'1,1'!C5</f>
        <v>Filozofu iela 50, Jelgava</v>
      </c>
      <c r="D5" s="557"/>
      <c r="E5" s="557"/>
      <c r="F5" s="557"/>
      <c r="G5" s="557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47" t="str">
        <f>'1,1'!A7:G7</f>
        <v>Tāme sastādīta 2014.gada tirgus cenās, pamatojoties uz SIA „Baltex Group” tehniskā projekta rasējumiem un darbu apjomiem</v>
      </c>
      <c r="B7" s="547"/>
      <c r="C7" s="547"/>
      <c r="D7" s="547"/>
      <c r="E7" s="547"/>
      <c r="F7" s="547"/>
      <c r="G7" s="547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52" t="s">
        <v>5</v>
      </c>
      <c r="B11" s="553" t="s">
        <v>7</v>
      </c>
      <c r="C11" s="555" t="s">
        <v>8</v>
      </c>
      <c r="D11" s="556" t="s">
        <v>9</v>
      </c>
      <c r="E11" s="552" t="s">
        <v>10</v>
      </c>
      <c r="F11" s="550" t="s">
        <v>23</v>
      </c>
      <c r="G11" s="550" t="s">
        <v>24</v>
      </c>
    </row>
    <row r="12" spans="1:7" ht="59.25" customHeight="1">
      <c r="A12" s="552"/>
      <c r="B12" s="554"/>
      <c r="C12" s="555"/>
      <c r="D12" s="556"/>
      <c r="E12" s="552"/>
      <c r="F12" s="551"/>
      <c r="G12" s="551"/>
    </row>
    <row r="13" spans="1:7" ht="15.75">
      <c r="A13" s="91"/>
      <c r="B13" s="92">
        <v>0</v>
      </c>
      <c r="C13" s="93" t="str">
        <f>[2]kops1!C29</f>
        <v>Grīdas</v>
      </c>
      <c r="D13" s="94"/>
      <c r="E13" s="95"/>
      <c r="F13" s="23"/>
      <c r="G13" s="24"/>
    </row>
    <row r="14" spans="1:7" ht="15">
      <c r="A14" s="359">
        <v>0</v>
      </c>
      <c r="B14" s="109"/>
      <c r="C14" s="318" t="s">
        <v>979</v>
      </c>
      <c r="D14" s="319"/>
      <c r="E14" s="320"/>
      <c r="F14" s="21"/>
      <c r="G14" s="22"/>
    </row>
    <row r="15" spans="1:7">
      <c r="A15" s="96">
        <v>1</v>
      </c>
      <c r="B15" s="97" t="s">
        <v>937</v>
      </c>
      <c r="C15" s="98" t="s">
        <v>980</v>
      </c>
      <c r="D15" s="95" t="s">
        <v>822</v>
      </c>
      <c r="E15" s="99">
        <f>0.2*E19</f>
        <v>194.16</v>
      </c>
      <c r="F15" s="21"/>
      <c r="G15" s="22"/>
    </row>
    <row r="16" spans="1:7">
      <c r="A16" s="100">
        <v>0</v>
      </c>
      <c r="B16" s="97">
        <v>0</v>
      </c>
      <c r="C16" s="101" t="s">
        <v>981</v>
      </c>
      <c r="D16" s="95" t="s">
        <v>822</v>
      </c>
      <c r="E16" s="489">
        <f>1.1*E15</f>
        <v>213.57600000000002</v>
      </c>
      <c r="F16" s="21"/>
      <c r="G16" s="22"/>
    </row>
    <row r="17" spans="1:7">
      <c r="A17" s="96">
        <v>2</v>
      </c>
      <c r="B17" s="97" t="s">
        <v>937</v>
      </c>
      <c r="C17" s="98" t="s">
        <v>1352</v>
      </c>
      <c r="D17" s="95" t="s">
        <v>822</v>
      </c>
      <c r="E17" s="99">
        <f>E19*0.1</f>
        <v>97.08</v>
      </c>
      <c r="F17" s="21"/>
      <c r="G17" s="22"/>
    </row>
    <row r="18" spans="1:7">
      <c r="A18" s="100">
        <v>0</v>
      </c>
      <c r="B18" s="97">
        <v>0</v>
      </c>
      <c r="C18" s="101" t="s">
        <v>1353</v>
      </c>
      <c r="D18" s="95" t="s">
        <v>822</v>
      </c>
      <c r="E18" s="99">
        <f>1.1*E17</f>
        <v>106.78800000000001</v>
      </c>
      <c r="F18" s="21"/>
      <c r="G18" s="22"/>
    </row>
    <row r="19" spans="1:7">
      <c r="A19" s="96">
        <v>3</v>
      </c>
      <c r="B19" s="97" t="s">
        <v>937</v>
      </c>
      <c r="C19" s="98" t="s">
        <v>982</v>
      </c>
      <c r="D19" s="95" t="s">
        <v>711</v>
      </c>
      <c r="E19" s="99">
        <v>970.8</v>
      </c>
      <c r="F19" s="21"/>
      <c r="G19" s="22"/>
    </row>
    <row r="20" spans="1:7">
      <c r="A20" s="337">
        <v>4</v>
      </c>
      <c r="B20" s="319" t="s">
        <v>673</v>
      </c>
      <c r="C20" s="110" t="s">
        <v>983</v>
      </c>
      <c r="D20" s="319" t="s">
        <v>711</v>
      </c>
      <c r="E20" s="340">
        <f>E19</f>
        <v>970.8</v>
      </c>
      <c r="F20" s="21"/>
      <c r="G20" s="22"/>
    </row>
    <row r="21" spans="1:7">
      <c r="A21" s="337">
        <v>0</v>
      </c>
      <c r="B21" s="319"/>
      <c r="C21" s="110" t="s">
        <v>1212</v>
      </c>
      <c r="D21" s="319" t="s">
        <v>711</v>
      </c>
      <c r="E21" s="340">
        <f>E20*1.06</f>
        <v>1029.048</v>
      </c>
      <c r="F21" s="21"/>
      <c r="G21" s="22"/>
    </row>
    <row r="22" spans="1:7" ht="25.5">
      <c r="A22" s="96">
        <v>5</v>
      </c>
      <c r="B22" s="97" t="s">
        <v>857</v>
      </c>
      <c r="C22" s="98" t="s">
        <v>984</v>
      </c>
      <c r="D22" s="95" t="s">
        <v>711</v>
      </c>
      <c r="E22" s="99">
        <f>E19*5</f>
        <v>4854</v>
      </c>
      <c r="F22" s="21"/>
      <c r="G22" s="22"/>
    </row>
    <row r="23" spans="1:7" ht="25.5">
      <c r="A23" s="100">
        <v>0</v>
      </c>
      <c r="B23" s="97">
        <v>0</v>
      </c>
      <c r="C23" s="101" t="s">
        <v>985</v>
      </c>
      <c r="D23" s="95" t="s">
        <v>711</v>
      </c>
      <c r="E23" s="99">
        <f>1.05*E22</f>
        <v>5096.7</v>
      </c>
      <c r="F23" s="21"/>
      <c r="G23" s="22"/>
    </row>
    <row r="24" spans="1:7">
      <c r="A24" s="96">
        <v>6</v>
      </c>
      <c r="B24" s="97" t="s">
        <v>857</v>
      </c>
      <c r="C24" s="98" t="s">
        <v>1213</v>
      </c>
      <c r="D24" s="95" t="s">
        <v>711</v>
      </c>
      <c r="E24" s="99">
        <f>E19</f>
        <v>970.8</v>
      </c>
      <c r="F24" s="21"/>
      <c r="G24" s="22"/>
    </row>
    <row r="25" spans="1:7" ht="25.5">
      <c r="A25" s="100">
        <v>0</v>
      </c>
      <c r="B25" s="97">
        <v>0</v>
      </c>
      <c r="C25" s="101" t="s">
        <v>985</v>
      </c>
      <c r="D25" s="95" t="s">
        <v>711</v>
      </c>
      <c r="E25" s="99">
        <f>1.05*E24</f>
        <v>1019.34</v>
      </c>
      <c r="F25" s="21"/>
      <c r="G25" s="22"/>
    </row>
    <row r="26" spans="1:7">
      <c r="A26" s="332">
        <v>7</v>
      </c>
      <c r="B26" s="97" t="s">
        <v>937</v>
      </c>
      <c r="C26" s="105" t="s">
        <v>986</v>
      </c>
      <c r="D26" s="102" t="s">
        <v>711</v>
      </c>
      <c r="E26" s="99">
        <f>E24</f>
        <v>970.8</v>
      </c>
      <c r="F26" s="21"/>
      <c r="G26" s="22"/>
    </row>
    <row r="27" spans="1:7">
      <c r="A27" s="332">
        <v>0</v>
      </c>
      <c r="B27" s="97">
        <v>0</v>
      </c>
      <c r="C27" s="343" t="s">
        <v>987</v>
      </c>
      <c r="D27" s="102" t="s">
        <v>711</v>
      </c>
      <c r="E27" s="99">
        <f>1.1*E26</f>
        <v>1067.8800000000001</v>
      </c>
      <c r="F27" s="21"/>
      <c r="G27" s="22"/>
    </row>
    <row r="28" spans="1:7" ht="25.5">
      <c r="A28" s="332">
        <v>0</v>
      </c>
      <c r="B28" s="97">
        <v>0</v>
      </c>
      <c r="C28" s="343" t="s">
        <v>988</v>
      </c>
      <c r="D28" s="102" t="s">
        <v>694</v>
      </c>
      <c r="E28" s="99">
        <v>1</v>
      </c>
      <c r="F28" s="21"/>
      <c r="G28" s="22"/>
    </row>
    <row r="29" spans="1:7">
      <c r="A29" s="332">
        <v>8</v>
      </c>
      <c r="B29" s="97" t="s">
        <v>937</v>
      </c>
      <c r="C29" s="105" t="s">
        <v>989</v>
      </c>
      <c r="D29" s="102" t="s">
        <v>822</v>
      </c>
      <c r="E29" s="99">
        <f>0.1*E24</f>
        <v>97.08</v>
      </c>
      <c r="F29" s="21"/>
      <c r="G29" s="22"/>
    </row>
    <row r="30" spans="1:7">
      <c r="A30" s="332">
        <v>0</v>
      </c>
      <c r="B30" s="97">
        <v>0</v>
      </c>
      <c r="C30" s="343" t="s">
        <v>990</v>
      </c>
      <c r="D30" s="102" t="s">
        <v>822</v>
      </c>
      <c r="E30" s="99">
        <f>1.05*E29</f>
        <v>101.934</v>
      </c>
      <c r="F30" s="21"/>
      <c r="G30" s="22"/>
    </row>
    <row r="31" spans="1:7">
      <c r="A31" s="332">
        <v>0</v>
      </c>
      <c r="B31" s="97">
        <v>0</v>
      </c>
      <c r="C31" s="343" t="s">
        <v>842</v>
      </c>
      <c r="D31" s="102" t="s">
        <v>822</v>
      </c>
      <c r="E31" s="99">
        <f>0.25*E29</f>
        <v>24.27</v>
      </c>
      <c r="F31" s="21"/>
      <c r="G31" s="22"/>
    </row>
    <row r="32" spans="1:7" ht="25.5">
      <c r="A32" s="96">
        <v>9</v>
      </c>
      <c r="B32" s="97" t="s">
        <v>901</v>
      </c>
      <c r="C32" s="98" t="s">
        <v>991</v>
      </c>
      <c r="D32" s="95" t="s">
        <v>711</v>
      </c>
      <c r="E32" s="360">
        <f>217.8+570.9</f>
        <v>788.7</v>
      </c>
      <c r="F32" s="21"/>
      <c r="G32" s="22"/>
    </row>
    <row r="33" spans="1:7" ht="25.5">
      <c r="A33" s="100">
        <v>0</v>
      </c>
      <c r="B33" s="97">
        <v>0</v>
      </c>
      <c r="C33" s="101" t="s">
        <v>1214</v>
      </c>
      <c r="D33" s="95" t="s">
        <v>107</v>
      </c>
      <c r="E33" s="360">
        <f>18*E32*1</f>
        <v>14196.6</v>
      </c>
      <c r="F33" s="21"/>
      <c r="G33" s="22"/>
    </row>
    <row r="34" spans="1:7" ht="15">
      <c r="A34" s="359">
        <v>0</v>
      </c>
      <c r="B34" s="109"/>
      <c r="C34" s="318" t="s">
        <v>992</v>
      </c>
      <c r="D34" s="319"/>
      <c r="E34" s="320"/>
      <c r="F34" s="21"/>
      <c r="G34" s="22"/>
    </row>
    <row r="35" spans="1:7">
      <c r="A35" s="100">
        <v>10</v>
      </c>
      <c r="B35" s="97" t="s">
        <v>857</v>
      </c>
      <c r="C35" s="98" t="s">
        <v>993</v>
      </c>
      <c r="D35" s="95" t="s">
        <v>711</v>
      </c>
      <c r="E35" s="360">
        <v>220</v>
      </c>
      <c r="F35" s="21"/>
      <c r="G35" s="22"/>
    </row>
    <row r="36" spans="1:7" ht="25.5">
      <c r="A36" s="96">
        <v>0</v>
      </c>
      <c r="B36" s="97">
        <v>0</v>
      </c>
      <c r="C36" s="101" t="s">
        <v>994</v>
      </c>
      <c r="D36" s="95" t="s">
        <v>711</v>
      </c>
      <c r="E36" s="360">
        <f>1.05*E35</f>
        <v>231</v>
      </c>
      <c r="F36" s="21"/>
      <c r="G36" s="22"/>
    </row>
    <row r="37" spans="1:7" ht="38.25">
      <c r="A37" s="100">
        <v>11</v>
      </c>
      <c r="B37" s="97" t="s">
        <v>901</v>
      </c>
      <c r="C37" s="98" t="s">
        <v>995</v>
      </c>
      <c r="D37" s="95" t="s">
        <v>711</v>
      </c>
      <c r="E37" s="360">
        <v>220</v>
      </c>
      <c r="F37" s="21"/>
      <c r="G37" s="22"/>
    </row>
    <row r="38" spans="1:7">
      <c r="A38" s="96">
        <v>0</v>
      </c>
      <c r="B38" s="97">
        <v>0</v>
      </c>
      <c r="C38" s="343" t="s">
        <v>996</v>
      </c>
      <c r="D38" s="95" t="s">
        <v>711</v>
      </c>
      <c r="E38" s="360">
        <f>E37</f>
        <v>220</v>
      </c>
      <c r="F38" s="21"/>
      <c r="G38" s="22"/>
    </row>
    <row r="39" spans="1:7" ht="25.5">
      <c r="A39" s="96">
        <v>12</v>
      </c>
      <c r="B39" s="97" t="s">
        <v>901</v>
      </c>
      <c r="C39" s="98" t="s">
        <v>997</v>
      </c>
      <c r="D39" s="95" t="s">
        <v>711</v>
      </c>
      <c r="E39" s="360">
        <v>186.8</v>
      </c>
      <c r="F39" s="21"/>
      <c r="G39" s="22"/>
    </row>
    <row r="40" spans="1:7" ht="25.5">
      <c r="A40" s="100">
        <v>0</v>
      </c>
      <c r="B40" s="97">
        <v>0</v>
      </c>
      <c r="C40" s="101" t="s">
        <v>1214</v>
      </c>
      <c r="D40" s="95" t="s">
        <v>107</v>
      </c>
      <c r="E40" s="360">
        <f>18*E39*1</f>
        <v>3362.4</v>
      </c>
      <c r="F40" s="21"/>
      <c r="G40" s="22"/>
    </row>
    <row r="41" spans="1:7" ht="15">
      <c r="A41" s="359">
        <v>0</v>
      </c>
      <c r="B41" s="109"/>
      <c r="C41" s="318" t="s">
        <v>998</v>
      </c>
      <c r="D41" s="319"/>
      <c r="E41" s="320"/>
      <c r="F41" s="21"/>
      <c r="G41" s="22"/>
    </row>
    <row r="42" spans="1:7">
      <c r="A42" s="96">
        <v>13</v>
      </c>
      <c r="B42" s="97" t="s">
        <v>901</v>
      </c>
      <c r="C42" s="98" t="s">
        <v>1215</v>
      </c>
      <c r="D42" s="95" t="s">
        <v>711</v>
      </c>
      <c r="E42" s="360">
        <v>404.6</v>
      </c>
      <c r="F42" s="21"/>
      <c r="G42" s="22"/>
    </row>
    <row r="43" spans="1:7">
      <c r="A43" s="100">
        <v>0</v>
      </c>
      <c r="B43" s="97">
        <v>0</v>
      </c>
      <c r="C43" s="101" t="s">
        <v>999</v>
      </c>
      <c r="D43" s="95" t="s">
        <v>107</v>
      </c>
      <c r="E43" s="360">
        <f>15*E42*0.3</f>
        <v>1820.7</v>
      </c>
      <c r="F43" s="21"/>
      <c r="G43" s="22"/>
    </row>
    <row r="44" spans="1:7">
      <c r="A44" s="332">
        <v>14</v>
      </c>
      <c r="B44" s="97" t="s">
        <v>901</v>
      </c>
      <c r="C44" s="105" t="s">
        <v>1216</v>
      </c>
      <c r="D44" s="102" t="s">
        <v>711</v>
      </c>
      <c r="E44" s="99">
        <v>404.6</v>
      </c>
      <c r="F44" s="21"/>
      <c r="G44" s="22"/>
    </row>
    <row r="45" spans="1:7">
      <c r="A45" s="332">
        <v>0</v>
      </c>
      <c r="B45" s="97">
        <v>0</v>
      </c>
      <c r="C45" s="343" t="s">
        <v>1000</v>
      </c>
      <c r="D45" s="102" t="s">
        <v>711</v>
      </c>
      <c r="E45" s="99">
        <f>1.2*E44</f>
        <v>485.52</v>
      </c>
      <c r="F45" s="21"/>
      <c r="G45" s="22"/>
    </row>
    <row r="46" spans="1:7">
      <c r="A46" s="332">
        <v>0</v>
      </c>
      <c r="B46" s="97">
        <v>0</v>
      </c>
      <c r="C46" s="343" t="s">
        <v>1217</v>
      </c>
      <c r="D46" s="102" t="s">
        <v>107</v>
      </c>
      <c r="E46" s="99">
        <f>0.3*E44</f>
        <v>121.38</v>
      </c>
      <c r="F46" s="21"/>
      <c r="G46" s="22"/>
    </row>
    <row r="47" spans="1:7">
      <c r="A47" s="332">
        <v>0</v>
      </c>
      <c r="B47" s="97">
        <v>0</v>
      </c>
      <c r="C47" s="343" t="s">
        <v>1001</v>
      </c>
      <c r="D47" s="102" t="s">
        <v>850</v>
      </c>
      <c r="E47" s="99">
        <f>0.7*E44</f>
        <v>283.21999999999997</v>
      </c>
      <c r="F47" s="21"/>
      <c r="G47" s="22"/>
    </row>
    <row r="48" spans="1:7">
      <c r="A48" s="332">
        <v>0</v>
      </c>
      <c r="B48" s="97">
        <v>0</v>
      </c>
      <c r="C48" s="343" t="s">
        <v>51</v>
      </c>
      <c r="D48" s="102" t="s">
        <v>694</v>
      </c>
      <c r="E48" s="99">
        <v>1</v>
      </c>
      <c r="F48" s="21"/>
      <c r="G48" s="22"/>
    </row>
    <row r="49" spans="1:7">
      <c r="A49" s="485"/>
      <c r="B49" s="486"/>
      <c r="C49" s="487"/>
      <c r="D49" s="488"/>
      <c r="E49" s="489"/>
      <c r="F49" s="21"/>
      <c r="G49" s="22"/>
    </row>
    <row r="50" spans="1:7">
      <c r="A50" s="485"/>
      <c r="B50" s="486"/>
      <c r="C50" s="490"/>
      <c r="D50" s="488"/>
      <c r="E50" s="489"/>
      <c r="F50" s="21"/>
      <c r="G50" s="22"/>
    </row>
    <row r="51" spans="1:7" ht="25.5">
      <c r="A51" s="332" t="s">
        <v>1236</v>
      </c>
      <c r="B51" s="97" t="s">
        <v>673</v>
      </c>
      <c r="C51" s="105" t="s">
        <v>1235</v>
      </c>
      <c r="D51" s="102" t="s">
        <v>711</v>
      </c>
      <c r="E51" s="99">
        <v>570.9</v>
      </c>
      <c r="F51" s="21"/>
      <c r="G51" s="22"/>
    </row>
    <row r="52" spans="1:7" ht="25.5">
      <c r="A52" s="332" t="s">
        <v>1237</v>
      </c>
      <c r="B52" s="97" t="s">
        <v>673</v>
      </c>
      <c r="C52" s="487" t="s">
        <v>1351</v>
      </c>
      <c r="D52" s="472" t="s">
        <v>38</v>
      </c>
      <c r="E52" s="489">
        <v>630</v>
      </c>
      <c r="F52" s="21"/>
      <c r="G52" s="22"/>
    </row>
    <row r="53" spans="1:7" ht="25.5">
      <c r="A53" s="332">
        <v>16</v>
      </c>
      <c r="B53" s="97" t="s">
        <v>673</v>
      </c>
      <c r="C53" s="105" t="s">
        <v>1234</v>
      </c>
      <c r="D53" s="102" t="s">
        <v>711</v>
      </c>
      <c r="E53" s="99">
        <v>570.9</v>
      </c>
      <c r="F53" s="21"/>
      <c r="G53" s="22"/>
    </row>
    <row r="54" spans="1:7">
      <c r="A54" s="332">
        <v>17</v>
      </c>
      <c r="B54" s="97" t="s">
        <v>673</v>
      </c>
      <c r="C54" s="105" t="s">
        <v>1002</v>
      </c>
      <c r="D54" s="102" t="s">
        <v>711</v>
      </c>
      <c r="E54" s="99">
        <v>570.9</v>
      </c>
      <c r="F54" s="21"/>
      <c r="G54" s="22"/>
    </row>
    <row r="55" spans="1:7" ht="76.5">
      <c r="A55" s="332">
        <v>0</v>
      </c>
      <c r="B55" s="97">
        <f>IF(H55&gt;0,"L.c.",0)</f>
        <v>0</v>
      </c>
      <c r="C55" s="343" t="s">
        <v>1003</v>
      </c>
      <c r="D55" s="102" t="s">
        <v>541</v>
      </c>
      <c r="E55" s="99">
        <f>0.3*E54</f>
        <v>171.26999999999998</v>
      </c>
      <c r="F55" s="21"/>
      <c r="G55" s="22"/>
    </row>
    <row r="56" spans="1:7" ht="25.5">
      <c r="A56" s="332" t="s">
        <v>1247</v>
      </c>
      <c r="B56" s="97" t="s">
        <v>1249</v>
      </c>
      <c r="C56" s="105" t="s">
        <v>1248</v>
      </c>
      <c r="D56" s="102" t="s">
        <v>694</v>
      </c>
      <c r="E56" s="99">
        <v>1</v>
      </c>
      <c r="F56" s="21"/>
      <c r="G56" s="22"/>
    </row>
    <row r="57" spans="1:7">
      <c r="A57" s="332">
        <v>18</v>
      </c>
      <c r="B57" s="97" t="s">
        <v>901</v>
      </c>
      <c r="C57" s="105" t="s">
        <v>1218</v>
      </c>
      <c r="D57" s="102" t="s">
        <v>711</v>
      </c>
      <c r="E57" s="99">
        <v>65</v>
      </c>
      <c r="F57" s="21"/>
      <c r="G57" s="22"/>
    </row>
    <row r="58" spans="1:7" ht="25.5">
      <c r="A58" s="332">
        <v>0</v>
      </c>
      <c r="B58" s="97">
        <v>0</v>
      </c>
      <c r="C58" s="343" t="s">
        <v>1004</v>
      </c>
      <c r="D58" s="102" t="s">
        <v>107</v>
      </c>
      <c r="E58" s="99">
        <f>2*E57</f>
        <v>130</v>
      </c>
      <c r="F58" s="21"/>
      <c r="G58" s="22"/>
    </row>
    <row r="59" spans="1:7">
      <c r="A59" s="332">
        <v>19</v>
      </c>
      <c r="B59" s="97" t="s">
        <v>901</v>
      </c>
      <c r="C59" s="105" t="s">
        <v>1005</v>
      </c>
      <c r="D59" s="102" t="s">
        <v>711</v>
      </c>
      <c r="E59" s="99">
        <v>203.4</v>
      </c>
      <c r="F59" s="21"/>
      <c r="G59" s="22"/>
    </row>
    <row r="60" spans="1:7">
      <c r="A60" s="332">
        <v>0</v>
      </c>
      <c r="B60" s="97">
        <v>0</v>
      </c>
      <c r="C60" s="343" t="s">
        <v>1205</v>
      </c>
      <c r="D60" s="102" t="s">
        <v>711</v>
      </c>
      <c r="E60" s="99">
        <f>1.08*E59</f>
        <v>219.67200000000003</v>
      </c>
      <c r="F60" s="21"/>
      <c r="G60" s="22"/>
    </row>
    <row r="61" spans="1:7">
      <c r="A61" s="332">
        <v>0</v>
      </c>
      <c r="B61" s="97">
        <v>0</v>
      </c>
      <c r="C61" s="343" t="s">
        <v>943</v>
      </c>
      <c r="D61" s="102" t="s">
        <v>107</v>
      </c>
      <c r="E61" s="99">
        <f>4.4*E59</f>
        <v>894.96000000000015</v>
      </c>
      <c r="F61" s="21"/>
      <c r="G61" s="22"/>
    </row>
    <row r="62" spans="1:7">
      <c r="A62" s="332">
        <v>0</v>
      </c>
      <c r="B62" s="97">
        <v>0</v>
      </c>
      <c r="C62" s="343" t="s">
        <v>944</v>
      </c>
      <c r="D62" s="102" t="s">
        <v>107</v>
      </c>
      <c r="E62" s="99">
        <f>0.44*E59</f>
        <v>89.496000000000009</v>
      </c>
      <c r="F62" s="21"/>
      <c r="G62" s="22"/>
    </row>
    <row r="63" spans="1:7" ht="25.5">
      <c r="A63" s="332">
        <v>20</v>
      </c>
      <c r="B63" s="97" t="s">
        <v>901</v>
      </c>
      <c r="C63" s="105" t="s">
        <v>1006</v>
      </c>
      <c r="D63" s="102" t="s">
        <v>850</v>
      </c>
      <c r="E63" s="99">
        <v>110.8</v>
      </c>
      <c r="F63" s="21"/>
      <c r="G63" s="22"/>
    </row>
    <row r="64" spans="1:7">
      <c r="A64" s="332">
        <v>0</v>
      </c>
      <c r="B64" s="97">
        <v>0</v>
      </c>
      <c r="C64" s="343" t="s">
        <v>1205</v>
      </c>
      <c r="D64" s="102" t="s">
        <v>711</v>
      </c>
      <c r="E64" s="99">
        <f>0.1*E63*1.1</f>
        <v>12.188000000000001</v>
      </c>
      <c r="F64" s="21"/>
      <c r="G64" s="22"/>
    </row>
    <row r="65" spans="1:7">
      <c r="A65" s="332">
        <v>0</v>
      </c>
      <c r="B65" s="97">
        <v>0</v>
      </c>
      <c r="C65" s="343" t="s">
        <v>943</v>
      </c>
      <c r="D65" s="102" t="s">
        <v>107</v>
      </c>
      <c r="E65" s="99">
        <f>4.4*E63*0.11</f>
        <v>53.627200000000002</v>
      </c>
      <c r="F65" s="21"/>
      <c r="G65" s="22"/>
    </row>
    <row r="66" spans="1:7">
      <c r="A66" s="332">
        <v>0</v>
      </c>
      <c r="B66" s="97">
        <v>0</v>
      </c>
      <c r="C66" s="343" t="s">
        <v>944</v>
      </c>
      <c r="D66" s="102" t="s">
        <v>107</v>
      </c>
      <c r="E66" s="99">
        <f>0.44*E63*0.11</f>
        <v>5.3627200000000004</v>
      </c>
      <c r="F66" s="21"/>
      <c r="G66" s="22"/>
    </row>
    <row r="67" spans="1:7">
      <c r="A67" s="100">
        <v>21</v>
      </c>
      <c r="B67" s="97" t="s">
        <v>901</v>
      </c>
      <c r="C67" s="98" t="s">
        <v>1007</v>
      </c>
      <c r="D67" s="102" t="s">
        <v>850</v>
      </c>
      <c r="E67" s="360">
        <v>708</v>
      </c>
      <c r="F67" s="21"/>
      <c r="G67" s="22"/>
    </row>
    <row r="68" spans="1:7">
      <c r="A68" s="96">
        <v>0</v>
      </c>
      <c r="B68" s="97">
        <v>0</v>
      </c>
      <c r="C68" s="101" t="s">
        <v>1008</v>
      </c>
      <c r="D68" s="102" t="s">
        <v>850</v>
      </c>
      <c r="E68" s="360">
        <f>1.1*E67</f>
        <v>778.80000000000007</v>
      </c>
      <c r="F68" s="21"/>
      <c r="G68" s="22"/>
    </row>
    <row r="69" spans="1:7">
      <c r="A69" s="100">
        <v>0</v>
      </c>
      <c r="B69" s="97">
        <v>0</v>
      </c>
      <c r="C69" s="101" t="s">
        <v>1009</v>
      </c>
      <c r="D69" s="102" t="s">
        <v>20</v>
      </c>
      <c r="E69" s="360">
        <f>2*E67</f>
        <v>1416</v>
      </c>
      <c r="F69" s="21"/>
      <c r="G69" s="22"/>
    </row>
    <row r="70" spans="1:7" s="17" customFormat="1">
      <c r="A70" s="28"/>
      <c r="B70" s="29"/>
      <c r="C70" s="30"/>
      <c r="D70" s="31"/>
      <c r="E70" s="12"/>
      <c r="F70" s="12"/>
      <c r="G70" s="32"/>
    </row>
    <row r="71" spans="1:7" ht="15">
      <c r="A71" s="13"/>
      <c r="B71" s="13"/>
      <c r="C71" s="18"/>
      <c r="D71" s="19"/>
      <c r="E71" s="18"/>
      <c r="F71" s="18" t="s">
        <v>6</v>
      </c>
      <c r="G71" s="20"/>
    </row>
    <row r="73" spans="1:7" s="25" customFormat="1" ht="12.75" customHeight="1">
      <c r="B73" s="26" t="str">
        <f>'1,1'!B32</f>
        <v>Piezīmes:</v>
      </c>
    </row>
    <row r="74" spans="1:7" s="25" customFormat="1" ht="45" customHeight="1">
      <c r="A74" s="546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4" s="546"/>
      <c r="C74" s="546"/>
      <c r="D74" s="546"/>
      <c r="E74" s="546"/>
      <c r="F74" s="546"/>
      <c r="G74" s="546"/>
    </row>
    <row r="75" spans="1:7" s="25" customFormat="1" ht="12.75" customHeight="1">
      <c r="A75" s="546">
        <f>'1,1'!$A$34</f>
        <v>0</v>
      </c>
      <c r="B75" s="546"/>
      <c r="C75" s="546"/>
      <c r="D75" s="546"/>
      <c r="E75" s="546"/>
      <c r="F75" s="546"/>
      <c r="G75" s="546"/>
    </row>
    <row r="76" spans="1:7" s="25" customFormat="1" ht="12.75" customHeight="1">
      <c r="B76" s="27"/>
    </row>
    <row r="77" spans="1:7">
      <c r="B77" s="5" t="str">
        <f>'1,1'!B36</f>
        <v>Sastādīja:</v>
      </c>
    </row>
    <row r="78" spans="1:7" ht="14.25" customHeight="1">
      <c r="C78" s="33" t="str">
        <f>'1,1'!C37</f>
        <v>Arnis Gailītis</v>
      </c>
    </row>
    <row r="79" spans="1:7">
      <c r="C79" s="34" t="str">
        <f>'1,1'!C38</f>
        <v>Sertifikāta Nr.20-5643</v>
      </c>
      <c r="D79" s="35"/>
    </row>
    <row r="82" spans="2:3">
      <c r="B82" s="40" t="str">
        <f>'1,1'!B41</f>
        <v>Pārbaudīja:</v>
      </c>
      <c r="C82" s="3"/>
    </row>
    <row r="83" spans="2:3">
      <c r="B83" s="2"/>
      <c r="C83" s="33" t="str">
        <f>'1,1'!C42</f>
        <v>Aivars Mauriņš</v>
      </c>
    </row>
    <row r="84" spans="2:3">
      <c r="B84" s="1"/>
      <c r="C84" s="34" t="str">
        <f>'1,1'!C43</f>
        <v>Sertifikāta Nr.20-5957</v>
      </c>
    </row>
  </sheetData>
  <mergeCells count="15">
    <mergeCell ref="A75:G75"/>
    <mergeCell ref="A74:G74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1,1</vt:lpstr>
      <vt:lpstr>1,2</vt:lpstr>
      <vt:lpstr>1,3</vt:lpstr>
      <vt:lpstr>1,4</vt:lpstr>
      <vt:lpstr>1,5</vt:lpstr>
      <vt:lpstr>1,6</vt:lpstr>
      <vt:lpstr>1,7</vt:lpstr>
      <vt:lpstr>1,8</vt:lpstr>
      <vt:lpstr>1,9</vt:lpstr>
      <vt:lpstr>1,10</vt:lpstr>
      <vt:lpstr>1,11</vt:lpstr>
      <vt:lpstr>1,12</vt:lpstr>
      <vt:lpstr>1,13</vt:lpstr>
      <vt:lpstr>2,1</vt:lpstr>
      <vt:lpstr>2,2</vt:lpstr>
      <vt:lpstr>2,3</vt:lpstr>
      <vt:lpstr>2,4</vt:lpstr>
      <vt:lpstr>2,5</vt:lpstr>
      <vt:lpstr>2,6</vt:lpstr>
      <vt:lpstr>2,7</vt:lpstr>
      <vt:lpstr>2,8</vt:lpstr>
      <vt:lpstr>2,9</vt:lpstr>
      <vt:lpstr>2,10</vt:lpstr>
      <vt:lpstr>2,11</vt:lpstr>
      <vt:lpstr>3,1</vt:lpstr>
      <vt:lpstr>3,2</vt:lpstr>
      <vt:lpstr>3,3</vt:lpstr>
      <vt:lpstr>3,4</vt:lpstr>
      <vt:lpstr>3,5</vt:lpstr>
      <vt:lpstr>4,1</vt:lpstr>
      <vt:lpstr>'1,1'!Print_Titles</vt:lpstr>
      <vt:lpstr>'1,10'!Print_Titles</vt:lpstr>
      <vt:lpstr>'1,11'!Print_Titles</vt:lpstr>
      <vt:lpstr>'1,12'!Print_Titles</vt:lpstr>
      <vt:lpstr>'1,13'!Print_Titles</vt:lpstr>
      <vt:lpstr>'1,2'!Print_Titles</vt:lpstr>
      <vt:lpstr>'1,3'!Print_Titles</vt:lpstr>
      <vt:lpstr>'1,4'!Print_Titles</vt:lpstr>
      <vt:lpstr>'1,5'!Print_Titles</vt:lpstr>
      <vt:lpstr>'1,6'!Print_Titles</vt:lpstr>
      <vt:lpstr>'1,7'!Print_Titles</vt:lpstr>
      <vt:lpstr>'1,8'!Print_Titles</vt:lpstr>
      <vt:lpstr>'1,9'!Print_Titles</vt:lpstr>
      <vt:lpstr>'2,1'!Print_Titles</vt:lpstr>
      <vt:lpstr>'2,10'!Print_Titles</vt:lpstr>
      <vt:lpstr>'2,11'!Print_Titles</vt:lpstr>
      <vt:lpstr>'2,2'!Print_Titles</vt:lpstr>
      <vt:lpstr>'2,3'!Print_Titles</vt:lpstr>
      <vt:lpstr>'2,4'!Print_Titles</vt:lpstr>
      <vt:lpstr>'2,5'!Print_Titles</vt:lpstr>
      <vt:lpstr>'2,6'!Print_Titles</vt:lpstr>
      <vt:lpstr>'2,7'!Print_Titles</vt:lpstr>
      <vt:lpstr>'2,8'!Print_Titles</vt:lpstr>
      <vt:lpstr>'2,9'!Print_Titles</vt:lpstr>
      <vt:lpstr>'3,1'!Print_Titles</vt:lpstr>
      <vt:lpstr>'3,2'!Print_Titles</vt:lpstr>
      <vt:lpstr>'3,3'!Print_Titles</vt:lpstr>
      <vt:lpstr>'3,4'!Print_Titles</vt:lpstr>
      <vt:lpstr>'3,5'!Print_Titles</vt:lpstr>
      <vt:lpstr>'4,1'!Print_Titles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DATORS</cp:lastModifiedBy>
  <cp:lastPrinted>2014-09-19T15:56:19Z</cp:lastPrinted>
  <dcterms:created xsi:type="dcterms:W3CDTF">2011-09-07T11:49:58Z</dcterms:created>
  <dcterms:modified xsi:type="dcterms:W3CDTF">2015-04-28T08:51:21Z</dcterms:modified>
</cp:coreProperties>
</file>