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05" windowHeight="6180" activeTab="0"/>
  </bookViews>
  <sheets>
    <sheet name="2.pielikums" sheetId="1" r:id="rId1"/>
  </sheets>
  <definedNames>
    <definedName name="_xlnm.Print_Titles" localSheetId="0">'2.pielikums'!$A:$A,'2.pielikums'!$5:$6</definedName>
  </definedNames>
  <calcPr fullCalcOnLoad="1"/>
</workbook>
</file>

<file path=xl/sharedStrings.xml><?xml version="1.0" encoding="utf-8"?>
<sst xmlns="http://schemas.openxmlformats.org/spreadsheetml/2006/main" count="589" uniqueCount="338">
  <si>
    <t xml:space="preserve">         JELGAVAS VALSTSPILSĒTAS PAŠVALDĪBAS ILGTERMIŅA SAISTĪBAS</t>
  </si>
  <si>
    <t>Nr. p.k</t>
  </si>
  <si>
    <t xml:space="preserve">Aizņēmuma līgums </t>
  </si>
  <si>
    <t>Mērķis</t>
  </si>
  <si>
    <t xml:space="preserve">Aizdevuma </t>
  </si>
  <si>
    <t>Atmaksas</t>
  </si>
  <si>
    <t>Maksājumi</t>
  </si>
  <si>
    <t>SAISTĪBAS</t>
  </si>
  <si>
    <t>summa, EUR</t>
  </si>
  <si>
    <t>periods</t>
  </si>
  <si>
    <t>EUR</t>
  </si>
  <si>
    <t>2038-2053</t>
  </si>
  <si>
    <t>KOPĀ</t>
  </si>
  <si>
    <t>Valsts kase</t>
  </si>
  <si>
    <t>Investīciju projektu īstenošanai (saistību pārjaunojums)</t>
  </si>
  <si>
    <t>06.07.2018.-20.11.2034.</t>
  </si>
  <si>
    <t>Pamatsumma</t>
  </si>
  <si>
    <t>A2/1/18/441</t>
  </si>
  <si>
    <t>Projekts "Jelgavas 1.internātpamatskolas rekonstrukcijas darbi"</t>
  </si>
  <si>
    <t>23.01.2015. - 22.01.2035</t>
  </si>
  <si>
    <t>A2/1/15/13</t>
  </si>
  <si>
    <t>Projekts "Jelgavas pilsētas PPII Skautu ielā 1 rekonstrukcijas darbi"</t>
  </si>
  <si>
    <t>23.01.2015. - 22.01.2035.</t>
  </si>
  <si>
    <t>A2/1/15/14</t>
  </si>
  <si>
    <t>Projekts "Siltumnīcefektu gāzu emisiju samazināšana" (Pilsētsaimniecība)</t>
  </si>
  <si>
    <t>20.05.2015. - 20.05.2035.</t>
  </si>
  <si>
    <t>A2/1/15/241</t>
  </si>
  <si>
    <t>Valsts Kase</t>
  </si>
  <si>
    <t>Projekts "Jelgavas izglītības pārvaldes ēkas jumta rekonstrukcija"</t>
  </si>
  <si>
    <t>18.06.2015.- 20.06.2035.</t>
  </si>
  <si>
    <t>A2/1/15/322</t>
  </si>
  <si>
    <t>Projekts "Energoefektīvu risinājumu piemērošana ilgtspējīgām ēkām Jelgavā - sporta halle"</t>
  </si>
  <si>
    <t>02.10.2015.-20.09.2035.</t>
  </si>
  <si>
    <t>A2/1/15/569</t>
  </si>
  <si>
    <t>ERAF projekts "Mācību vides uzlabošana Jelgavas Valsts ģimnāzijā un Jelgavas Tehnoloģiju vidusskolā"</t>
  </si>
  <si>
    <t>07.06.2017.-20.03.2047.</t>
  </si>
  <si>
    <t>A2/1/17/364</t>
  </si>
  <si>
    <t>Prioritārais projekts "Jelgavas kultūras nama iekšējo komunikāciju atjaunošana"</t>
  </si>
  <si>
    <t>07.06.2017.-20.11.2036.</t>
  </si>
  <si>
    <t>A2/1/17/365</t>
  </si>
  <si>
    <t>Projekts "Atmodas ielas posma no Dobeles šosejas līdz Dambja ielai asfalta seguma atjaunošana"</t>
  </si>
  <si>
    <t>03.07.2017.-20.11.2036.</t>
  </si>
  <si>
    <t>A2/1/17/467</t>
  </si>
  <si>
    <t>Izglītības iestāžu investīciju projekts "Jelgavas pilsētas PPII "Zemenīte" telpu pārbūve"</t>
  </si>
  <si>
    <t>A2/1/17/465</t>
  </si>
  <si>
    <t xml:space="preserve">Izglītības iestāžu investīciju projekts  "Jelgavas 1.internātpamatskolas jumta konstrukciju nomaiņa" </t>
  </si>
  <si>
    <t>10.08.2017.-20.11.2036.</t>
  </si>
  <si>
    <t>A2/1/17/588</t>
  </si>
  <si>
    <t>SIA "Jelgavas ūdens" pamatkapitāla palielināšana projekta "Ūdenssaimniecības pakalpojumu attīstība Jelgavā, V kārta" īstenošanai</t>
  </si>
  <si>
    <t>31.08.2017.-20.03.2047.</t>
  </si>
  <si>
    <t>A2/1/17/632</t>
  </si>
  <si>
    <t>Izglītības iestāžu investīciju projekts "Jelgavas pilsētas PPII "Rotaļa" ēkas rekonstrukcija"</t>
  </si>
  <si>
    <t>31.08.2017.-20.08.2037.</t>
  </si>
  <si>
    <t>A2/1/17/633</t>
  </si>
  <si>
    <t>Projekts "Asfaltbetona seguma atjaunošana, lietus ūdens kanalizācijas un ūdensvada tīklu nomaiņa Akadēmijas ielas posmā no Raiņa līdz Lielai ielai"</t>
  </si>
  <si>
    <t>25.10.2017.-20.10.2037.</t>
  </si>
  <si>
    <t>A2/1/17/774</t>
  </si>
  <si>
    <t>Projekts "Muzeja jumta skārda seguma nomaiņa un bēniņu pārseguma siltināšana"</t>
  </si>
  <si>
    <t>08.03.2018.-20.11.2037.</t>
  </si>
  <si>
    <t>A2/1/18/92</t>
  </si>
  <si>
    <t>ERAF projekts "Jelgavas pilsētas pašvaldības PII "Sprīdītis" energoefektivitātes paaugstināšana"</t>
  </si>
  <si>
    <t>01.06.2018.-20.03.2048.</t>
  </si>
  <si>
    <t>A2/1/18/296</t>
  </si>
  <si>
    <t>Pašvaldības izglītības iestāžu investīciju projekts "Jelgavas 2.internātpamatskolas rekonstrukcija 2.kārta"</t>
  </si>
  <si>
    <t>05.07.2018.-20.03.2038.</t>
  </si>
  <si>
    <t>A2/1/18/434</t>
  </si>
  <si>
    <t>Pašvaldības izglītības iestāžu investīciju projekts "Jelgavas pilsētas pašvaldības ēkas Zemgales prospekts 7 pārbūve un jaunais būvapjoms (piebūve)", I un III kārta ("Junda" izvietošanai)</t>
  </si>
  <si>
    <t>05.07.2018.-20.03.2048.</t>
  </si>
  <si>
    <t>A2/1/18/435</t>
  </si>
  <si>
    <t>ERAF projekts "Nozīmīga kultūrvēsturiskā mantojuma saglabāšana un attīstība kultūras tūrisma piedāvājuma pilnveidošanai Zemgales reģionā"</t>
  </si>
  <si>
    <t>A2/1/18/436</t>
  </si>
  <si>
    <t>Valsts budžeta līdzfinansēta kultūras iestādes investīciju projekta "Publiskās slidotavas un brīvdabas estrādes Pasta salā jumtu pārsegumu projektēšana, izbūve un autoruzraudzība" pabeigšanai</t>
  </si>
  <si>
    <t>07.08.2018.- 20.06.2048.</t>
  </si>
  <si>
    <t>A2/1/18/541</t>
  </si>
  <si>
    <t>ERAF projekts ""Jelgavas pilsētas pašvaldības ēkas Zemgales prospekts 7 energoefektivitātes paaugstināšana" II kārta"</t>
  </si>
  <si>
    <t>07.08.2018.- 20.03.2048.</t>
  </si>
  <si>
    <t>A2/1/18/542</t>
  </si>
  <si>
    <t>Projekts "Asfaltbetona seguma izbūve Romas ielā posmā no Zemeņu ielas līdz Turaidas ielai"</t>
  </si>
  <si>
    <t>07.08.2018.- 22.03.2038.</t>
  </si>
  <si>
    <t>A2/1/18/543</t>
  </si>
  <si>
    <t>Projekts "Jelgavas Valsts ģimnāzijas pārbūves papilddarbi"</t>
  </si>
  <si>
    <t>30.08.2018.- 20.06.2038.</t>
  </si>
  <si>
    <t>A2/1/18/602</t>
  </si>
  <si>
    <t>Latvijas -  Lietuvas pārrobežu sadarbības programmas projekts "Civilās aizsardzības sistēmas pilnveidošana Jelgavas un Šauļu pilsētās (C-System)</t>
  </si>
  <si>
    <t>30.08.2018. - 20.06.2028</t>
  </si>
  <si>
    <t>A2/1/18/603</t>
  </si>
  <si>
    <t>Izglītības iestādes investīciju projekts "Jelgavas pilsētas pašvaldības PII "Gaismina" telpu vienkāršota atjaunošana"</t>
  </si>
  <si>
    <t>30.08.2018. - 20.06.2038.</t>
  </si>
  <si>
    <t>A2/1/18/604</t>
  </si>
  <si>
    <t>Pašvaldības prioritārais investīciju projekts "Jelgavas Kultūras nama ēkas fasādes, pamatu vertikālās hidroizolācijas atjaunošana un teritorijas sakārtošana"</t>
  </si>
  <si>
    <t>10.10.2018. -20.09.2038.</t>
  </si>
  <si>
    <t>A2/1/18/709</t>
  </si>
  <si>
    <t>SIA "Jelgavas ūdens" pamatkapitāla palielināšanai projektam "Ūdenssaimniecības pakalpojumu attīstība Jelgavā, V kārta"</t>
  </si>
  <si>
    <t>22.10.2018. -20.09.2047.</t>
  </si>
  <si>
    <t>A2/1/18/736</t>
  </si>
  <si>
    <t>Lat -Lit pārrobežu sadarbības projekts "Tehniskās bāzes un operatīvo dienestu speciālistu fziskās kapacitātes uzlabošana Latvijas un Lietuvas pierobežas reģionā (All for safety)"</t>
  </si>
  <si>
    <t>18.12.2018. - 20.09.2028.</t>
  </si>
  <si>
    <t>A2/1/18/891</t>
  </si>
  <si>
    <t>Kultūras iestāžu investīciju projekts "Jelgavas Kultūras nama ēkas fasādes, pamatu vertikālās hidroizolācijas atjaunošana un teritorijas sakārtošana"</t>
  </si>
  <si>
    <t>19.12.2018. - 20.09.2038.</t>
  </si>
  <si>
    <t>A2/1/18/899</t>
  </si>
  <si>
    <t>ERAF projekts "Jelgavas lidlauka poldera dambja pārbūve plūdu draudu novēršanai"</t>
  </si>
  <si>
    <t>02.04.2019.- 22.03.2049.</t>
  </si>
  <si>
    <t>A2/1/19/84</t>
  </si>
  <si>
    <t>ERAF projekts "Jelgavas Amatu vidusskolas infrastruktūras uzlabošana un mācību aprīkojuma modernizācija, 2.kārta"</t>
  </si>
  <si>
    <t>17.05.2019.- 22.03.2049.</t>
  </si>
  <si>
    <t>A2/1/19/156</t>
  </si>
  <si>
    <t>ERAF projekts "Kompleksu pasākumu īstenošana Svētes upes caurplūdes atjaunošanai un plūdu apdraudējuma samazināšanai piegulošajās teritorijās"</t>
  </si>
  <si>
    <t>19.06.2019.- 22.03.2049.</t>
  </si>
  <si>
    <t>A2/1/19/231</t>
  </si>
  <si>
    <t>KF projekts "Loka maģistrāles pārbūve posmā no Kalnciema ceļa līdz Jelgavas administratīvajai robežai"</t>
  </si>
  <si>
    <t>18.09.2019.-22.03.2049.</t>
  </si>
  <si>
    <t>A2/1/19/337</t>
  </si>
  <si>
    <t>ERAF projekts "Tehniskās infrastruktūras sakārtošana uzņēmējdarbības attīstībai degradētajā teritorijā, 1.kārta"</t>
  </si>
  <si>
    <t>A2/1/19/339</t>
  </si>
  <si>
    <t>VB līdzfinansēts projekts "Miera ielas un Aizsargu ielas asfalta seguma atjaunošana un tilta pār Platones upi pārbūve"</t>
  </si>
  <si>
    <t>A2/1/19/340</t>
  </si>
  <si>
    <t>Projekts "Romas ielas asfaltbetona seguma izbūve no Turaidas ielas līdz pilsētas administratīvajai robežai"</t>
  </si>
  <si>
    <t>04.08.2020.-20.07.2040.</t>
  </si>
  <si>
    <t>A2/1/20/501</t>
  </si>
  <si>
    <t>Projekts "Satiksmes ielas posma no Meiju ceļa līdz Ganību ielai braucamās daļas seguma atjaunošana”</t>
  </si>
  <si>
    <t>A2/1/20/502</t>
  </si>
  <si>
    <t>EKII projekts "Siltumnīcefekta gāzu emisiju samazināšana ar viedajām pilsētvides tehnoloģijām Jelgavā"</t>
  </si>
  <si>
    <t>20.08.2020.-20.06.2050.</t>
  </si>
  <si>
    <t>A2/1/20/569</t>
  </si>
  <si>
    <t>Projekts "Pirmsskolas izglītības iestādes Brīvības bulvārī 31A, Jelgavā, būvniecība"</t>
  </si>
  <si>
    <t>02.10.2020.- 20.06.2050.</t>
  </si>
  <si>
    <t>A2/1/20/681</t>
  </si>
  <si>
    <t>Projekts "Asfaltbetona seguma atjaunošana Ruļļu ielas posmā no Salnas ielas līdz Viskaļu ielai"</t>
  </si>
  <si>
    <t>02.10.2020.-20.09.2040.</t>
  </si>
  <si>
    <t>A2/1/20/682</t>
  </si>
  <si>
    <t>Projekts "Gājēju ietves izbūve Kalnciema ceļa posmam no Rīgas ielas līdz Loka maģistrālei"</t>
  </si>
  <si>
    <t>02.10.2020.- 20.06.2040.</t>
  </si>
  <si>
    <t>A2/1/20/683</t>
  </si>
  <si>
    <t>ERAF projekts “Jelgavas pilsētas pašvaldības policijas ēkas energoefektivitātes paaugstināšana”</t>
  </si>
  <si>
    <t>03.12.2020.-20.11.2050.</t>
  </si>
  <si>
    <t>A2/1/20/846</t>
  </si>
  <si>
    <t>08.04.2021.-20.03.2051.</t>
  </si>
  <si>
    <t>A2/1/21/121</t>
  </si>
  <si>
    <t>ERAF projekts "Tehniskās infrastruktūras sakārtošana uzņēmējdarbības attīstībai degradētajā teritorijā, 2.kārta"</t>
  </si>
  <si>
    <t>01.06.2021- 20.03.2051.</t>
  </si>
  <si>
    <t>A2/1/21/261</t>
  </si>
  <si>
    <t>Projekts "Īres dzīvokļu izveidošana Stacijas ielā 13, Jelgavā"</t>
  </si>
  <si>
    <t>28.07.2021. - 20.07.2051.</t>
  </si>
  <si>
    <t>A2/1/21/423</t>
  </si>
  <si>
    <t>28.07.2021. - 22.07.2041.</t>
  </si>
  <si>
    <t>A2/1/21/424</t>
  </si>
  <si>
    <t>Projekts "Jelgavas pilsētas pašvaldības pirmsskolas izglītības iestādes "Pasaciņa" virtuves telpu atjaunošana"</t>
  </si>
  <si>
    <t>26.08.2021.-20.08.2041.</t>
  </si>
  <si>
    <t>A2/1/21/496</t>
  </si>
  <si>
    <t>KF projekts "Videi draudzīgas sabiedriskā transporta inrastruktūras attīstība Jelgavā" - Riska likme</t>
  </si>
  <si>
    <t>A2/1/21/497</t>
  </si>
  <si>
    <t>ERAF projekts“Jelgavas pašvaldības operatīvās informācijas centra ēkas Sarmas ielā 4 energoefektivitātes paaugstināšana”</t>
  </si>
  <si>
    <t>A2/1/21/498</t>
  </si>
  <si>
    <t xml:space="preserve">ERAF projekts Jelgavas pilsētas pašvaldības izglītības iestādes  “Jelgavas Tehnoloģiju vidusskola” energoefektivitātes paaugstināšana” </t>
  </si>
  <si>
    <t>26.08.2021.-20.06.2051.</t>
  </si>
  <si>
    <t>A2/1/21/499</t>
  </si>
  <si>
    <t>ERAF projekts "Tehniskās infrastruktūras sakārtošana uzņēmējdarbības attīstībai degradētajā teritorijā, 3.kārta”</t>
  </si>
  <si>
    <t>27.08.2021-20.08.2041.</t>
  </si>
  <si>
    <t>A2/1/21/513</t>
  </si>
  <si>
    <t>29.09.2021.-22.09.2031.</t>
  </si>
  <si>
    <t>A2/1/21/558</t>
  </si>
  <si>
    <t>Pašvaldības prioritārais investīciju projekts "Jaunrades nama "Junda" struktūrvienības "Lediņi" telpu vienkāršota atjaunošana, gāzes apgāde un teritorijas labiekārtošana, Lediņu ceļā 1, Jelgavā"</t>
  </si>
  <si>
    <t>27.10.2021.-21.10.2041.</t>
  </si>
  <si>
    <t>A2/1/21/648</t>
  </si>
  <si>
    <t>Projekts "Jaunrades nama "Junda" struktūrvienības "Lediņi" telpu vienkāršota atjaunošana, gāzes apgāde un teritorijas labiekārtošana, Lediņu ceļā 1, Jelgavā" (COVID)</t>
  </si>
  <si>
    <t>A2/1/21/649</t>
  </si>
  <si>
    <t>Būvprojekta "Industriālā parka ielu infrastruktūras izveide Jelgavā" izstrāde (COVID)</t>
  </si>
  <si>
    <t>26.11.2021-20.11.2026.</t>
  </si>
  <si>
    <t>A2/1/21/716</t>
  </si>
  <si>
    <t>Projekts "Tilta izbūve pār Platones upi Bauskas ielā, Jelgavā" (COVID)</t>
  </si>
  <si>
    <t>26.11.2021.-20.09.2046.</t>
  </si>
  <si>
    <t>A2/1/21/717</t>
  </si>
  <si>
    <t>Būvprojektu“Miera ielas un esošā Miera ielas, Aizsargu ielas un Bauskas ielas rotācijas apļa pārbūve, Jelgavā”, “Aizsargu ielas pārbūve, Jelgavā” un “Bauskas ielas pārbūve, Jelgavā” izstrāde (COVID)</t>
  </si>
  <si>
    <t>23.12.2021.-21.12.2026.</t>
  </si>
  <si>
    <t>A2/1/21/774</t>
  </si>
  <si>
    <t>Prioritārais investīciju projekts "Lifta izbūve Jelgavas pilsētas bibliotēkā"</t>
  </si>
  <si>
    <t>28.03.2022.-20.03.2042.</t>
  </si>
  <si>
    <t>A2/1/22/58</t>
  </si>
  <si>
    <t xml:space="preserve">Latvijas – Lietuvas pārrobežu sadarbības programmas projekta (Nr.LLI-491) "Sociālajam riskam pakļauto bērnu un jauniešu integrācija Jelgavas un Šauļu pilsētas pašvaldībās (Risk Children)" </t>
  </si>
  <si>
    <t>A2/1/22/59</t>
  </si>
  <si>
    <t>Latvijas – Lietuvas pārrobežu sadarbības programmas projekta (Nr.LLI-464) "Kopīga pārrobežu tūrisma piedāvājuma "Saules ceļš" izveide"</t>
  </si>
  <si>
    <t>28.03.2022.-22.03.2032.</t>
  </si>
  <si>
    <t>A2/1/22/60</t>
  </si>
  <si>
    <t>ERAF projekta "Kultūras mantojuma saglabāšana un attīstība Jelgavas pilsētā"</t>
  </si>
  <si>
    <t>28.03.2022.-20.03.2052.</t>
  </si>
  <si>
    <t>A2/1/22/61</t>
  </si>
  <si>
    <t>ERAF projekts "Daudzfunkcionālā sociālo pakalpojumu centra ēkas Zirgu ielā 47a, Jelgavā, energoefektivitātes paaugstināšana"</t>
  </si>
  <si>
    <t>10.05.2022-20.03.2042.</t>
  </si>
  <si>
    <t>A2/1/22/92</t>
  </si>
  <si>
    <t>Prioritārais projekts "Jelgavas 4.sākumskolas automašīnu stāvlaukuma paplašināšana, teritorijas daļēja labiekārtošana, satiksmes drošības uzlabošana"</t>
  </si>
  <si>
    <t>10.05.2022.-20.03.2052.</t>
  </si>
  <si>
    <t>A2/1/22/93</t>
  </si>
  <si>
    <t>27.05.2022.-20.05.2042.</t>
  </si>
  <si>
    <t>A2/1/22/119</t>
  </si>
  <si>
    <t>ERAF projekts "Sabiedrībā balstītu sociālo pakalpojumu infrastruktūras izveide, Jelgavā"</t>
  </si>
  <si>
    <t>27.06.2022-20.03.2052.</t>
  </si>
  <si>
    <t>A2/1/22/154</t>
  </si>
  <si>
    <t>Prioritārais investīciju projekts "Lifta izbūve Jelgavas pilsētas bibliotēkā" (sadārdzinājums)</t>
  </si>
  <si>
    <t>17.08.2022.-21.07.2042.</t>
  </si>
  <si>
    <t>A2/1/22/312</t>
  </si>
  <si>
    <t>Projekts "Jelgavas valstspilsētas pašvaldības iestādes "Jelgavas izglītības pārvalde" ēkas telpu vienkāršotā atjaunošana" (COVID)</t>
  </si>
  <si>
    <t>A2/1/22/313</t>
  </si>
  <si>
    <t>20.09.2022.-20.06.2052.</t>
  </si>
  <si>
    <t>A2/1/22/396</t>
  </si>
  <si>
    <t>Projekts "Tilta izbūve pār Platones upi Bauskas ielā, Jelgavā" - sadārdzinājums (COVID)</t>
  </si>
  <si>
    <t>18.10.2022.-20.09.2047..</t>
  </si>
  <si>
    <t>A2/1/22/438</t>
  </si>
  <si>
    <t>Projekts "Jelgavas valstspilsētas pašvaldības pirmsskolas izglītības iestādes "Lācītis" teritorijas labiekārtošana" (COVID)</t>
  </si>
  <si>
    <t>18.10.2022.-20.09.2032.</t>
  </si>
  <si>
    <t>A2/1/22/439</t>
  </si>
  <si>
    <t>Projekts "Jelgavas valstspilsētas pašvaldības pirmsskolas izglītības iestādes "Vārpiņa" iekštelpu remontdarbi" (COVID)</t>
  </si>
  <si>
    <t>A2/1/22/440</t>
  </si>
  <si>
    <t>Projekts "Jelgavas valstspilsētas pašvaldības pirmsskolas izglītības iestādes "Zemenīte" iekštelpu remontdarbi" (COVID)</t>
  </si>
  <si>
    <t>A2/1/22/441</t>
  </si>
  <si>
    <t>Projekts "Jelgavas valstspilsētas pašvaldības pirmsskolas izglītības iestādes "Zemenīte" žoga atjaunošana" (COVID)</t>
  </si>
  <si>
    <t>A2/1/22/442</t>
  </si>
  <si>
    <t>Latvijas – Lietuvas pārrobežu sadarbības programmas projekta (Nr.LLI-464) "Kopīga pārrobežu tūrisma piedāvājuma "Saules ceļš" izveide" - papildus līgumi</t>
  </si>
  <si>
    <t>04.11.2022.-20.10.2027.</t>
  </si>
  <si>
    <t>A2/1/22/484</t>
  </si>
  <si>
    <t>02.12.2022.-20.11.2052.</t>
  </si>
  <si>
    <t>A2/1/22/548</t>
  </si>
  <si>
    <t xml:space="preserve">ERAF projekts "Mācību vides uzlabošana Jelgavas Valsts ģimnāzijā un Jelgavas Tehnoloģiju vidusskolā" </t>
  </si>
  <si>
    <t>28.03.2023.-20.03.2053.</t>
  </si>
  <si>
    <t>A2/1/23/44</t>
  </si>
  <si>
    <t>ERAF projekts (Nr.4.2.2.0/21/A/039) "Ēkas daļas Svētes ielā 33, Jelgavā, energoefektivitātes paaugstināšana" (ZRKAC)</t>
  </si>
  <si>
    <t>06.04.2023.-20.03.2033.</t>
  </si>
  <si>
    <t>A2/1/23/66</t>
  </si>
  <si>
    <t>06.04.2023.-20.03.2028.</t>
  </si>
  <si>
    <t>A2/1/23/67</t>
  </si>
  <si>
    <t>ERAF projekts (Nr.4.2.2.0/20/I/003) "Daudzfunkcionālā sociālo pakalpojumu centra Zirgu ielā 47A, Jelgavā energoefektivitātes paaugstināšana"</t>
  </si>
  <si>
    <t>06.04.2023.-20.12.2036.</t>
  </si>
  <si>
    <t>A2/1/23/68</t>
  </si>
  <si>
    <t>ERAF projekts (Nr.4.2.2.0/21/A/040) "Jelgavas pamatskolas "Valdeka"-attīstības centra skolas ēkas energoefektivitātes paaugstināšana"</t>
  </si>
  <si>
    <t>06.04.2023.-20.03.2043.</t>
  </si>
  <si>
    <t>A2/1/23/69</t>
  </si>
  <si>
    <t>18.05.2023.-20.04.2033.</t>
  </si>
  <si>
    <t>A2/1/23/108</t>
  </si>
  <si>
    <t>09.06.2023.-20.05.2053.</t>
  </si>
  <si>
    <t>A2/1/23/136</t>
  </si>
  <si>
    <t>ERAF projekts "Tehniskās infrastruktūras sakārtošana uzņēmējdarbības attīstībai Rubeņu ceļa rūpnieciskajā teritorijā"</t>
  </si>
  <si>
    <t>09.08.2023.-20.07.2046.</t>
  </si>
  <si>
    <t>A2/1/23/253</t>
  </si>
  <si>
    <t>Priooritārais investīciju proejekts "Jelgavas Bērnu un jaunatnes sporta skolas infrastruktūras attīstība"</t>
  </si>
  <si>
    <t>10.08.2023.-20.07.2053.</t>
  </si>
  <si>
    <t>A2/1/23/260</t>
  </si>
  <si>
    <t>ERAF projekts "Pilssalas ielas degradētās teritorijas sakārtošana"</t>
  </si>
  <si>
    <t>15.08.2023.-20.07.2053.</t>
  </si>
  <si>
    <t>A2/1/23/268</t>
  </si>
  <si>
    <t>Projekts "Aizsargu ielas seguma atjaunošana"</t>
  </si>
  <si>
    <t>A2/1/23/303</t>
  </si>
  <si>
    <t>722F</t>
  </si>
  <si>
    <t>05.10.2023.-20.09.2053.</t>
  </si>
  <si>
    <t>A2/1/23/416</t>
  </si>
  <si>
    <t>5.04% (F)</t>
  </si>
  <si>
    <t>Projekts "Iebraucamā ceļa pārbūve no Zirgu ielas līdz Jelgavas 4.sākumskolai"</t>
  </si>
  <si>
    <t>723F</t>
  </si>
  <si>
    <t>A2/1/23/417</t>
  </si>
  <si>
    <t>Projekts "Jelgavas valstspilsētas pašvaldības pirmsskolas izglītības iestādes "Gaismiņa" katlu mājas pārbūve par saimniecības ēku"</t>
  </si>
  <si>
    <t>724F</t>
  </si>
  <si>
    <t>08.11.2023.-20.10.2043.</t>
  </si>
  <si>
    <t>A2/1/23/465</t>
  </si>
  <si>
    <t>Projekts "Pirmsskolas izglītības iestādes "Sprīdītis"garāžas un palīgtelpu pārbūve  par PII grupas telpām Skolas ielā "2, Jelgavā"</t>
  </si>
  <si>
    <t>725F</t>
  </si>
  <si>
    <t>A2/1/23/466</t>
  </si>
  <si>
    <t>Projekts "Jelgavas Centra pamatskola" telpu vienkāršotā atjaunošana un virtuves iekārtu piegāde, uzstādīšana"</t>
  </si>
  <si>
    <t>726F</t>
  </si>
  <si>
    <t>08.11.2023.-20.10.2041.</t>
  </si>
  <si>
    <t>A2/1/23/467</t>
  </si>
  <si>
    <t>Projekts "Pirmsskolas izglītības iestādes "Kamolītis"telpu vienkāršotā atjaunošana un virtuves iekārtu piegāde, uzstādīšana"</t>
  </si>
  <si>
    <t>727F</t>
  </si>
  <si>
    <t>08.11.2023.-20.10.2046</t>
  </si>
  <si>
    <t>A2/1/23/468</t>
  </si>
  <si>
    <t>Projekts "2., 3. līnijas un Nameja ielas posma pārbūve, Jelgavā"</t>
  </si>
  <si>
    <t>728F</t>
  </si>
  <si>
    <t>14.11.2023.-20.10.2053.</t>
  </si>
  <si>
    <t>A2/1/23/469</t>
  </si>
  <si>
    <t>Projekts “Jelgavas valstspilsētas pašvaldības izglītības iestādes “Jelgavas Centra pamatskolas” stadiona pārbūve”</t>
  </si>
  <si>
    <t>729F</t>
  </si>
  <si>
    <t>17.11.2023.-20.10.2053.</t>
  </si>
  <si>
    <t>A2/1/23/471</t>
  </si>
  <si>
    <t>4.915% (F)</t>
  </si>
  <si>
    <t>Būvprojekta "Jelgavas Spīdolas Valsts ģimnāzijas bibliotēkas jaunbūves, sporta stadiona pārbūves un teritorijas labiekārtošana" izstrāde</t>
  </si>
  <si>
    <t>730F</t>
  </si>
  <si>
    <t>17.11.2023.-20.10.2028.</t>
  </si>
  <si>
    <t>A2/1/23/472</t>
  </si>
  <si>
    <t>4.152% (F)</t>
  </si>
  <si>
    <t>Projekts "Jelgavas valstspilsētas pašvaldības izglītības iestādes "Jelgavas Pārlielupes pamatskola" jumta seguma nomaiņa"</t>
  </si>
  <si>
    <t xml:space="preserve">Kopā pamatsummu maksājumi         </t>
  </si>
  <si>
    <t xml:space="preserve">Kopā procentu maksājumi         </t>
  </si>
  <si>
    <t>Aizņēmumu saistības kopā</t>
  </si>
  <si>
    <t xml:space="preserve"> Saistību īpatsvars</t>
  </si>
  <si>
    <t>%</t>
  </si>
  <si>
    <t xml:space="preserve"> Saistību īpatsvars bez priekšfinansējuma atmaksām</t>
  </si>
  <si>
    <t>Aizņēmumu līgumsumma kopā</t>
  </si>
  <si>
    <t>Pašu ieņēmumi saistību īpatsvara aprēķinam</t>
  </si>
  <si>
    <t>Priekšfinansējuma atmaksas uz 30.11.2023.</t>
  </si>
  <si>
    <t>Plānotās priekšfinansējuma atmaksas uz 31.12.2023.</t>
  </si>
  <si>
    <t>Pirmstermiņa atmaksas uz 31.10.2023.</t>
  </si>
  <si>
    <t>Pamatsummu atmaksa 2023.g. pēc grafika</t>
  </si>
  <si>
    <t>Pamatsummu pieaugums pret iepriekšējo gadu</t>
  </si>
  <si>
    <t>Kopējo saistību pieaugums pret iepriekšējo gadu</t>
  </si>
  <si>
    <t>Galvojumi:</t>
  </si>
  <si>
    <t>SIA Jelgavas ūdens - Ūdenssaimniecība II kārta</t>
  </si>
  <si>
    <t>03.12.2010. - 20.12.2030.</t>
  </si>
  <si>
    <t>A/1/10/1025</t>
  </si>
  <si>
    <t>SIA Jelgavas ūdens - Ūdenssaimniecība III kārta</t>
  </si>
  <si>
    <t>18.12.2013. - 20.12.2030.</t>
  </si>
  <si>
    <t>G/13/1206</t>
  </si>
  <si>
    <t>SIA Jelgavas ūdens - Ūdenssaimniecības pakalpojumu attīstība Jelgavā, V kārta</t>
  </si>
  <si>
    <t>16.03.2020.-20.02.2050.</t>
  </si>
  <si>
    <t>G/20/86</t>
  </si>
  <si>
    <t>SIA "Jelgavas Poliklīnika" norobežojošo konstrukciju energoefektivitātes paaugstināšana</t>
  </si>
  <si>
    <t>10.02.2022.- 20.01.2042.</t>
  </si>
  <si>
    <t>G/22/20</t>
  </si>
  <si>
    <t>10.06.2022.-20.05.2042.</t>
  </si>
  <si>
    <t>G/22/147</t>
  </si>
  <si>
    <t>AS "SEB banka"</t>
  </si>
  <si>
    <t>SIA "Jelgavas komunālie pakalpojumi" - projektam "Bioloģiski noārdāmo atkritumu pātrstrādes laikuma izbūve" un ERAF projektam "Tādu bioloģiski noārdāmo atkritumu pāstrādes iekārtu izveide poligonā "Brakšķi', kas izmanto anaerobo pārstrādes metodi"</t>
  </si>
  <si>
    <t>03.08.2023.-25.07.2030.</t>
  </si>
  <si>
    <t>Nr.2023005217/G-2</t>
  </si>
  <si>
    <t>Galvojumu saistības kopā</t>
  </si>
  <si>
    <t>Galvojumu pirmstermiņa atmaksas uz 30.11.2023.</t>
  </si>
  <si>
    <t>Galvojumu pamatsummu atmaksa pēc grafika</t>
  </si>
  <si>
    <t>PAVISAM KOPĀ:</t>
  </si>
  <si>
    <t>SAISTĪBAS KOPĀ:</t>
  </si>
  <si>
    <t>18.12.2023.-20.11.2036.</t>
  </si>
  <si>
    <t>731F</t>
  </si>
  <si>
    <t>A2/1/23/481</t>
  </si>
  <si>
    <t>ERAF projekts "Pilssalas ielas degradētās teritorijas sakārtošana" - prioritārais aizņēmums neattiecināmo izmaksu segšanai</t>
  </si>
  <si>
    <t>Projekts</t>
  </si>
  <si>
    <t>Emisijas kvotu izsolīšanas instrumenta projekts "Situmnīcefekta gāzu emisiju samazināšana Jelgavas valstspilsētas pašvaldības publisko teritoriju apgaismojuma infrastruktūrā"</t>
  </si>
  <si>
    <t>Projekts “Lielupes tilta balstu zemūdens remontdarbu veikšanai”</t>
  </si>
  <si>
    <t>ERAF projekts “Tehniskās infrastruktūras sakārtošana uzņēmējdarbības attīstībai Rubeņu ceļa rūpnieciskajā teritorijā”</t>
  </si>
  <si>
    <t>Aprēķināto procentu  pieaugums pret iepriekšējo gadu</t>
  </si>
  <si>
    <t>-</t>
  </si>
  <si>
    <t>2. pielikums</t>
  </si>
  <si>
    <t>K.Broņka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</si>
</sst>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00%"/>
    <numFmt numFmtId="173" formatCode="#,##0.0"/>
    <numFmt numFmtId="174" formatCode="_-* #,##0\ _L_s_-;\-* #,##0\ _L_s_-;_-* &quot;-&quot;??\ _L_s_-;_-@_-"/>
    <numFmt numFmtId="175" formatCode="#,##0.00_ ;\-#,##0.00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i/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8"/>
      <color indexed="10"/>
      <name val="Times New Roman"/>
      <family val="1"/>
    </font>
    <font>
      <i/>
      <sz val="8"/>
      <color indexed="10"/>
      <name val="Times New Roman"/>
      <family val="1"/>
    </font>
    <font>
      <sz val="8"/>
      <color indexed="10"/>
      <name val="Arial"/>
      <family val="2"/>
    </font>
    <font>
      <sz val="7.5"/>
      <color indexed="10"/>
      <name val="Arial"/>
      <family val="2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sz val="8"/>
      <color rgb="FFFF0000"/>
      <name val="Times New Roman"/>
      <family val="1"/>
    </font>
    <font>
      <i/>
      <sz val="8"/>
      <color rgb="FFFF0000"/>
      <name val="Times New Roman"/>
      <family val="1"/>
    </font>
    <font>
      <sz val="8"/>
      <color rgb="FFFF0000"/>
      <name val="Arial"/>
      <family val="2"/>
    </font>
    <font>
      <sz val="7.5"/>
      <color rgb="FFFF0000"/>
      <name val="Arial"/>
      <family val="2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  <font>
      <sz val="12"/>
      <color rgb="FFFF0000"/>
      <name val="Times New Roman"/>
      <family val="1"/>
    </font>
    <font>
      <sz val="14"/>
      <color rgb="FFFF0000"/>
      <name val="Times New Roman"/>
      <family val="1"/>
    </font>
    <font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/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 style="thin">
        <color indexed="22"/>
      </top>
      <bottom/>
    </border>
    <border>
      <left style="thin">
        <color indexed="22"/>
      </left>
      <right style="thin"/>
      <top style="thin">
        <color indexed="22"/>
      </top>
      <bottom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/>
      <top/>
      <bottom style="hair"/>
    </border>
    <border>
      <left style="hair"/>
      <right style="thin"/>
      <top>
        <color indexed="63"/>
      </top>
      <bottom style="hair"/>
    </border>
    <border>
      <left style="thin">
        <color theme="0" tint="-0.24993999302387238"/>
      </left>
      <right/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double"/>
    </border>
    <border>
      <left style="thin">
        <color theme="0" tint="-0.24993999302387238"/>
      </left>
      <right style="thin"/>
      <top style="thin">
        <color theme="0" tint="-0.24993999302387238"/>
      </top>
      <bottom style="double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theme="0" tint="-0.149959996342659"/>
      </left>
      <right style="thin">
        <color theme="0" tint="-0.149959996342659"/>
      </right>
      <top style="thin"/>
      <bottom style="thin"/>
    </border>
    <border>
      <left/>
      <right/>
      <top style="thin"/>
      <bottom style="thin"/>
    </border>
    <border>
      <left style="thin">
        <color theme="0" tint="-0.24993999302387238"/>
      </left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theme="0" tint="-0.149959996342659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theme="0" tint="-0.24993999302387238"/>
      </right>
      <top style="thin">
        <color theme="0" tint="-0.24993999302387238"/>
      </top>
      <bottom style="double"/>
    </border>
    <border>
      <left style="thin">
        <color theme="0" tint="-0.24993999302387238"/>
      </left>
      <right style="thin"/>
      <top/>
      <bottom style="double"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double"/>
    </border>
    <border>
      <left>
        <color indexed="63"/>
      </left>
      <right>
        <color indexed="63"/>
      </right>
      <top style="thin">
        <color theme="0" tint="-0.24993999302387238"/>
      </top>
      <bottom style="double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double"/>
    </border>
    <border>
      <left style="thin">
        <color indexed="22"/>
      </left>
      <right>
        <color indexed="63"/>
      </right>
      <top style="double"/>
      <bottom style="thin"/>
    </border>
    <border>
      <left>
        <color indexed="63"/>
      </left>
      <right style="thin">
        <color indexed="22"/>
      </right>
      <top style="double"/>
      <bottom style="thin"/>
    </border>
    <border>
      <left style="thin">
        <color indexed="22"/>
      </left>
      <right/>
      <top style="thin"/>
      <bottom style="thin"/>
    </border>
    <border>
      <left/>
      <right style="thin">
        <color indexed="22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/>
    </border>
    <border>
      <left style="hair"/>
      <right style="hair"/>
      <top/>
      <bottom style="thin"/>
    </border>
    <border>
      <left>
        <color indexed="63"/>
      </left>
      <right>
        <color indexed="63"/>
      </right>
      <top style="thin"/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hair"/>
      <right style="hair"/>
      <top style="thin"/>
      <bottom style="thin">
        <color theme="0" tint="-0.24993999302387238"/>
      </bottom>
    </border>
    <border>
      <left style="hair"/>
      <right style="hair"/>
      <top style="thin">
        <color theme="0" tint="-0.24993999302387238"/>
      </top>
      <bottom/>
    </border>
    <border>
      <left style="hair"/>
      <right style="hair"/>
      <top style="thin">
        <color theme="0" tint="-0.24993999302387238"/>
      </top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/>
      <bottom style="thin">
        <color theme="0" tint="-0.24993999302387238"/>
      </bottom>
    </border>
    <border>
      <left style="thin"/>
      <right/>
      <top style="thin"/>
      <bottom style="thin">
        <color indexed="22"/>
      </bottom>
    </border>
    <border>
      <left style="thin"/>
      <right/>
      <top style="thin">
        <color indexed="22"/>
      </top>
      <bottom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346">
    <xf numFmtId="0" fontId="0" fillId="0" borderId="0" xfId="0" applyFont="1" applyAlignment="1">
      <alignment/>
    </xf>
    <xf numFmtId="0" fontId="2" fillId="0" borderId="0" xfId="56" applyFont="1">
      <alignment/>
      <protection/>
    </xf>
    <xf numFmtId="0" fontId="3" fillId="0" borderId="0" xfId="56" applyFont="1" applyFill="1">
      <alignment/>
      <protection/>
    </xf>
    <xf numFmtId="0" fontId="3" fillId="0" borderId="0" xfId="56" applyFont="1" applyAlignment="1">
      <alignment vertical="center"/>
      <protection/>
    </xf>
    <xf numFmtId="0" fontId="61" fillId="0" borderId="0" xfId="56" applyFont="1" applyAlignment="1">
      <alignment vertical="center"/>
      <protection/>
    </xf>
    <xf numFmtId="0" fontId="61" fillId="0" borderId="0" xfId="56" applyFont="1">
      <alignment/>
      <protection/>
    </xf>
    <xf numFmtId="0" fontId="62" fillId="0" borderId="0" xfId="56" applyFont="1">
      <alignment/>
      <protection/>
    </xf>
    <xf numFmtId="0" fontId="4" fillId="0" borderId="0" xfId="56" applyFont="1" applyFill="1" applyAlignment="1">
      <alignment horizontal="right"/>
      <protection/>
    </xf>
    <xf numFmtId="0" fontId="2" fillId="0" borderId="0" xfId="56">
      <alignment/>
      <protection/>
    </xf>
    <xf numFmtId="0" fontId="5" fillId="0" borderId="0" xfId="56" applyFont="1" applyFill="1" applyBorder="1" applyAlignment="1">
      <alignment horizontal="right"/>
      <protection/>
    </xf>
    <xf numFmtId="0" fontId="5" fillId="0" borderId="0" xfId="0" applyFont="1" applyFill="1" applyAlignment="1">
      <alignment horizontal="right" vertical="center"/>
    </xf>
    <xf numFmtId="0" fontId="63" fillId="0" borderId="0" xfId="56" applyFont="1">
      <alignment/>
      <protection/>
    </xf>
    <xf numFmtId="0" fontId="7" fillId="0" borderId="0" xfId="56" applyFont="1">
      <alignment/>
      <protection/>
    </xf>
    <xf numFmtId="0" fontId="8" fillId="33" borderId="10" xfId="56" applyFont="1" applyFill="1" applyBorder="1" applyAlignment="1">
      <alignment horizontal="center" vertical="center"/>
      <protection/>
    </xf>
    <xf numFmtId="0" fontId="8" fillId="33" borderId="10" xfId="56" applyFont="1" applyFill="1" applyBorder="1" applyAlignment="1">
      <alignment vertical="center"/>
      <protection/>
    </xf>
    <xf numFmtId="9" fontId="8" fillId="33" borderId="10" xfId="56" applyNumberFormat="1" applyFont="1" applyFill="1" applyBorder="1" applyAlignment="1">
      <alignment horizontal="center" vertical="center"/>
      <protection/>
    </xf>
    <xf numFmtId="0" fontId="8" fillId="33" borderId="11" xfId="56" applyFont="1" applyFill="1" applyBorder="1" applyAlignment="1">
      <alignment vertical="center"/>
      <protection/>
    </xf>
    <xf numFmtId="0" fontId="8" fillId="33" borderId="12" xfId="56" applyFont="1" applyFill="1" applyBorder="1" applyAlignment="1">
      <alignment horizontal="center" vertical="center"/>
      <protection/>
    </xf>
    <xf numFmtId="0" fontId="2" fillId="0" borderId="0" xfId="56" applyFont="1" applyAlignment="1">
      <alignment vertical="center"/>
      <protection/>
    </xf>
    <xf numFmtId="0" fontId="8" fillId="33" borderId="13" xfId="56" applyFont="1" applyFill="1" applyBorder="1" applyAlignment="1">
      <alignment horizontal="center" vertical="center"/>
      <protection/>
    </xf>
    <xf numFmtId="0" fontId="8" fillId="33" borderId="14" xfId="56" applyFont="1" applyFill="1" applyBorder="1" applyAlignment="1">
      <alignment horizontal="center" vertical="center"/>
      <protection/>
    </xf>
    <xf numFmtId="0" fontId="8" fillId="33" borderId="15" xfId="56" applyFont="1" applyFill="1" applyBorder="1" applyAlignment="1">
      <alignment horizontal="center" vertical="center"/>
      <protection/>
    </xf>
    <xf numFmtId="0" fontId="7" fillId="0" borderId="16" xfId="56" applyFont="1" applyFill="1" applyBorder="1" applyAlignment="1">
      <alignment horizontal="center" vertical="center" wrapText="1"/>
      <protection/>
    </xf>
    <xf numFmtId="3" fontId="7" fillId="0" borderId="16" xfId="58" applyNumberFormat="1" applyFont="1" applyFill="1" applyBorder="1" applyAlignment="1">
      <alignment vertical="center"/>
      <protection/>
    </xf>
    <xf numFmtId="3" fontId="7" fillId="0" borderId="17" xfId="58" applyNumberFormat="1" applyFont="1" applyFill="1" applyBorder="1" applyAlignment="1">
      <alignment vertical="center"/>
      <protection/>
    </xf>
    <xf numFmtId="4" fontId="7" fillId="7" borderId="18" xfId="56" applyNumberFormat="1" applyFont="1" applyFill="1" applyBorder="1">
      <alignment/>
      <protection/>
    </xf>
    <xf numFmtId="0" fontId="2" fillId="0" borderId="0" xfId="56" applyFont="1" applyFill="1">
      <alignment/>
      <protection/>
    </xf>
    <xf numFmtId="0" fontId="7" fillId="0" borderId="19" xfId="57" applyFont="1" applyFill="1" applyBorder="1" applyAlignment="1">
      <alignment horizontal="center" vertical="center"/>
      <protection/>
    </xf>
    <xf numFmtId="3" fontId="7" fillId="0" borderId="19" xfId="58" applyNumberFormat="1" applyFont="1" applyFill="1" applyBorder="1" applyAlignment="1">
      <alignment vertical="center"/>
      <protection/>
    </xf>
    <xf numFmtId="3" fontId="7" fillId="0" borderId="20" xfId="58" applyNumberFormat="1" applyFont="1" applyFill="1" applyBorder="1" applyAlignment="1">
      <alignment vertical="center"/>
      <protection/>
    </xf>
    <xf numFmtId="4" fontId="7" fillId="7" borderId="21" xfId="56" applyNumberFormat="1" applyFont="1" applyFill="1" applyBorder="1">
      <alignment/>
      <protection/>
    </xf>
    <xf numFmtId="3" fontId="7" fillId="0" borderId="16" xfId="56" applyNumberFormat="1" applyFont="1" applyFill="1" applyBorder="1" applyAlignment="1">
      <alignment vertical="center"/>
      <protection/>
    </xf>
    <xf numFmtId="3" fontId="7" fillId="0" borderId="17" xfId="56" applyNumberFormat="1" applyFont="1" applyFill="1" applyBorder="1" applyAlignment="1">
      <alignment vertical="center"/>
      <protection/>
    </xf>
    <xf numFmtId="0" fontId="7" fillId="0" borderId="19" xfId="56" applyFont="1" applyFill="1" applyBorder="1" applyAlignment="1">
      <alignment horizontal="center" vertical="center" wrapText="1"/>
      <protection/>
    </xf>
    <xf numFmtId="3" fontId="7" fillId="0" borderId="19" xfId="56" applyNumberFormat="1" applyFont="1" applyFill="1" applyBorder="1" applyAlignment="1">
      <alignment vertical="center"/>
      <protection/>
    </xf>
    <xf numFmtId="3" fontId="7" fillId="0" borderId="20" xfId="56" applyNumberFormat="1" applyFont="1" applyFill="1" applyBorder="1" applyAlignment="1">
      <alignment vertical="center"/>
      <protection/>
    </xf>
    <xf numFmtId="4" fontId="7" fillId="0" borderId="16" xfId="56" applyNumberFormat="1" applyFont="1" applyFill="1" applyBorder="1" applyAlignment="1">
      <alignment vertical="center"/>
      <protection/>
    </xf>
    <xf numFmtId="4" fontId="7" fillId="0" borderId="17" xfId="56" applyNumberFormat="1" applyFont="1" applyFill="1" applyBorder="1" applyAlignment="1">
      <alignment vertical="center"/>
      <protection/>
    </xf>
    <xf numFmtId="3" fontId="7" fillId="0" borderId="16" xfId="44" applyNumberFormat="1" applyFont="1" applyFill="1" applyBorder="1" applyAlignment="1">
      <alignment horizontal="right" vertical="center"/>
    </xf>
    <xf numFmtId="3" fontId="7" fillId="0" borderId="17" xfId="44" applyNumberFormat="1" applyFont="1" applyFill="1" applyBorder="1" applyAlignment="1">
      <alignment horizontal="right" vertical="center"/>
    </xf>
    <xf numFmtId="0" fontId="2" fillId="34" borderId="0" xfId="56" applyFont="1" applyFill="1">
      <alignment/>
      <protection/>
    </xf>
    <xf numFmtId="3" fontId="7" fillId="0" borderId="19" xfId="44" applyNumberFormat="1" applyFont="1" applyFill="1" applyBorder="1" applyAlignment="1">
      <alignment horizontal="right" vertical="center"/>
    </xf>
    <xf numFmtId="3" fontId="7" fillId="0" borderId="20" xfId="44" applyNumberFormat="1" applyFont="1" applyFill="1" applyBorder="1" applyAlignment="1">
      <alignment horizontal="right" vertical="center"/>
    </xf>
    <xf numFmtId="4" fontId="7" fillId="0" borderId="16" xfId="44" applyNumberFormat="1" applyFont="1" applyFill="1" applyBorder="1" applyAlignment="1">
      <alignment horizontal="right" vertical="center"/>
    </xf>
    <xf numFmtId="4" fontId="7" fillId="0" borderId="17" xfId="44" applyNumberFormat="1" applyFont="1" applyFill="1" applyBorder="1" applyAlignment="1">
      <alignment horizontal="right" vertical="center"/>
    </xf>
    <xf numFmtId="3" fontId="7" fillId="0" borderId="16" xfId="57" applyNumberFormat="1" applyFont="1" applyFill="1" applyBorder="1" applyAlignment="1">
      <alignment vertical="center"/>
      <protection/>
    </xf>
    <xf numFmtId="4" fontId="7" fillId="0" borderId="16" xfId="57" applyNumberFormat="1" applyFont="1" applyFill="1" applyBorder="1" applyAlignment="1">
      <alignment vertical="center"/>
      <protection/>
    </xf>
    <xf numFmtId="4" fontId="7" fillId="0" borderId="17" xfId="57" applyNumberFormat="1" applyFont="1" applyFill="1" applyBorder="1" applyAlignment="1">
      <alignment vertical="center"/>
      <protection/>
    </xf>
    <xf numFmtId="3" fontId="7" fillId="0" borderId="19" xfId="57" applyNumberFormat="1" applyFont="1" applyFill="1" applyBorder="1" applyAlignment="1">
      <alignment vertical="center"/>
      <protection/>
    </xf>
    <xf numFmtId="3" fontId="7" fillId="0" borderId="20" xfId="57" applyNumberFormat="1" applyFont="1" applyFill="1" applyBorder="1" applyAlignment="1">
      <alignment vertical="center"/>
      <protection/>
    </xf>
    <xf numFmtId="10" fontId="7" fillId="0" borderId="16" xfId="58" applyNumberFormat="1" applyFont="1" applyFill="1" applyBorder="1" applyAlignment="1">
      <alignment horizontal="center" vertical="center"/>
      <protection/>
    </xf>
    <xf numFmtId="172" fontId="7" fillId="0" borderId="19" xfId="56" applyNumberFormat="1" applyFont="1" applyFill="1" applyBorder="1" applyAlignment="1">
      <alignment horizontal="center" vertical="center"/>
      <protection/>
    </xf>
    <xf numFmtId="4" fontId="7" fillId="0" borderId="16" xfId="58" applyNumberFormat="1" applyFont="1" applyFill="1" applyBorder="1" applyAlignment="1">
      <alignment vertical="center"/>
      <protection/>
    </xf>
    <xf numFmtId="4" fontId="7" fillId="0" borderId="17" xfId="58" applyNumberFormat="1" applyFont="1" applyFill="1" applyBorder="1" applyAlignment="1">
      <alignment vertical="center"/>
      <protection/>
    </xf>
    <xf numFmtId="3" fontId="7" fillId="0" borderId="22" xfId="58" applyNumberFormat="1" applyFont="1" applyFill="1" applyBorder="1" applyAlignment="1">
      <alignment vertical="center"/>
      <protection/>
    </xf>
    <xf numFmtId="3" fontId="7" fillId="0" borderId="23" xfId="58" applyNumberFormat="1" applyFont="1" applyFill="1" applyBorder="1" applyAlignment="1">
      <alignment vertical="center"/>
      <protection/>
    </xf>
    <xf numFmtId="0" fontId="7" fillId="0" borderId="22" xfId="57" applyFont="1" applyFill="1" applyBorder="1" applyAlignment="1">
      <alignment horizontal="center" vertical="center"/>
      <protection/>
    </xf>
    <xf numFmtId="4" fontId="7" fillId="7" borderId="24" xfId="56" applyNumberFormat="1" applyFont="1" applyFill="1" applyBorder="1">
      <alignment/>
      <protection/>
    </xf>
    <xf numFmtId="4" fontId="7" fillId="0" borderId="25" xfId="58" applyNumberFormat="1" applyFont="1" applyFill="1" applyBorder="1" applyAlignment="1">
      <alignment vertical="center"/>
      <protection/>
    </xf>
    <xf numFmtId="3" fontId="7" fillId="0" borderId="25" xfId="58" applyNumberFormat="1" applyFont="1" applyFill="1" applyBorder="1" applyAlignment="1">
      <alignment vertical="center"/>
      <protection/>
    </xf>
    <xf numFmtId="3" fontId="7" fillId="0" borderId="26" xfId="58" applyNumberFormat="1" applyFont="1" applyFill="1" applyBorder="1" applyAlignment="1">
      <alignment vertical="center"/>
      <protection/>
    </xf>
    <xf numFmtId="0" fontId="7" fillId="0" borderId="0" xfId="56" applyFont="1" applyFill="1" applyBorder="1" applyAlignment="1">
      <alignment/>
      <protection/>
    </xf>
    <xf numFmtId="0" fontId="7" fillId="0" borderId="25" xfId="56" applyFont="1" applyFill="1" applyBorder="1" applyAlignment="1">
      <alignment horizontal="center" vertical="center" wrapText="1"/>
      <protection/>
    </xf>
    <xf numFmtId="4" fontId="7" fillId="7" borderId="27" xfId="56" applyNumberFormat="1" applyFont="1" applyFill="1" applyBorder="1">
      <alignment/>
      <protection/>
    </xf>
    <xf numFmtId="172" fontId="7" fillId="0" borderId="22" xfId="56" applyNumberFormat="1" applyFont="1" applyFill="1" applyBorder="1" applyAlignment="1">
      <alignment horizontal="center" vertical="center"/>
      <protection/>
    </xf>
    <xf numFmtId="172" fontId="7" fillId="0" borderId="16" xfId="58" applyNumberFormat="1" applyFont="1" applyFill="1" applyBorder="1" applyAlignment="1">
      <alignment horizontal="center" vertical="center"/>
      <protection/>
    </xf>
    <xf numFmtId="0" fontId="7" fillId="0" borderId="0" xfId="56" applyFont="1" applyFill="1">
      <alignment/>
      <protection/>
    </xf>
    <xf numFmtId="0" fontId="7" fillId="0" borderId="19" xfId="57" applyFont="1" applyFill="1" applyBorder="1" applyAlignment="1">
      <alignment vertical="center"/>
      <protection/>
    </xf>
    <xf numFmtId="0" fontId="7" fillId="0" borderId="16" xfId="56" applyFont="1" applyFill="1" applyBorder="1" applyAlignment="1">
      <alignment horizontal="center" wrapText="1"/>
      <protection/>
    </xf>
    <xf numFmtId="4" fontId="63" fillId="0" borderId="16" xfId="58" applyNumberFormat="1" applyFont="1" applyFill="1" applyBorder="1" applyAlignment="1">
      <alignment vertical="center"/>
      <protection/>
    </xf>
    <xf numFmtId="0" fontId="7" fillId="0" borderId="19" xfId="57" applyFont="1" applyFill="1" applyBorder="1" applyAlignment="1">
      <alignment horizontal="center"/>
      <protection/>
    </xf>
    <xf numFmtId="0" fontId="7" fillId="0" borderId="19" xfId="57" applyFont="1" applyFill="1" applyBorder="1">
      <alignment/>
      <protection/>
    </xf>
    <xf numFmtId="0" fontId="7" fillId="0" borderId="0" xfId="56" applyFont="1" applyFill="1" applyAlignment="1">
      <alignment vertical="center"/>
      <protection/>
    </xf>
    <xf numFmtId="3" fontId="7" fillId="0" borderId="28" xfId="58" applyNumberFormat="1" applyFont="1" applyFill="1" applyBorder="1" applyAlignment="1">
      <alignment vertical="center"/>
      <protection/>
    </xf>
    <xf numFmtId="3" fontId="7" fillId="0" borderId="29" xfId="58" applyNumberFormat="1" applyFont="1" applyFill="1" applyBorder="1" applyAlignment="1">
      <alignment vertical="center"/>
      <protection/>
    </xf>
    <xf numFmtId="3" fontId="63" fillId="0" borderId="16" xfId="58" applyNumberFormat="1" applyFont="1" applyFill="1" applyBorder="1" applyAlignment="1">
      <alignment vertical="center"/>
      <protection/>
    </xf>
    <xf numFmtId="3" fontId="63" fillId="0" borderId="17" xfId="58" applyNumberFormat="1" applyFont="1" applyFill="1" applyBorder="1" applyAlignment="1">
      <alignment vertical="center"/>
      <protection/>
    </xf>
    <xf numFmtId="3" fontId="63" fillId="0" borderId="19" xfId="58" applyNumberFormat="1" applyFont="1" applyFill="1" applyBorder="1" applyAlignment="1">
      <alignment vertical="center"/>
      <protection/>
    </xf>
    <xf numFmtId="3" fontId="63" fillId="0" borderId="20" xfId="58" applyNumberFormat="1" applyFont="1" applyFill="1" applyBorder="1" applyAlignment="1">
      <alignment vertical="center"/>
      <protection/>
    </xf>
    <xf numFmtId="4" fontId="7" fillId="7" borderId="18" xfId="56" applyNumberFormat="1" applyFont="1" applyFill="1" applyBorder="1" applyAlignment="1">
      <alignment vertical="center"/>
      <protection/>
    </xf>
    <xf numFmtId="4" fontId="7" fillId="0" borderId="16" xfId="58" applyNumberFormat="1" applyFont="1" applyFill="1" applyBorder="1">
      <alignment/>
      <protection/>
    </xf>
    <xf numFmtId="3" fontId="7" fillId="0" borderId="16" xfId="58" applyNumberFormat="1" applyFont="1" applyFill="1" applyBorder="1">
      <alignment/>
      <protection/>
    </xf>
    <xf numFmtId="3" fontId="7" fillId="0" borderId="17" xfId="58" applyNumberFormat="1" applyFont="1" applyFill="1" applyBorder="1">
      <alignment/>
      <protection/>
    </xf>
    <xf numFmtId="3" fontId="7" fillId="0" borderId="19" xfId="58" applyNumberFormat="1" applyFont="1" applyFill="1" applyBorder="1">
      <alignment/>
      <protection/>
    </xf>
    <xf numFmtId="3" fontId="7" fillId="0" borderId="20" xfId="58" applyNumberFormat="1" applyFont="1" applyFill="1" applyBorder="1">
      <alignment/>
      <protection/>
    </xf>
    <xf numFmtId="0" fontId="63" fillId="0" borderId="0" xfId="56" applyFont="1" applyFill="1">
      <alignment/>
      <protection/>
    </xf>
    <xf numFmtId="0" fontId="10" fillId="0" borderId="16" xfId="56" applyFont="1" applyFill="1" applyBorder="1" applyAlignment="1">
      <alignment horizontal="center" vertical="center" wrapText="1"/>
      <protection/>
    </xf>
    <xf numFmtId="10" fontId="10" fillId="0" borderId="16" xfId="58" applyNumberFormat="1" applyFont="1" applyFill="1" applyBorder="1" applyAlignment="1">
      <alignment horizontal="center" vertical="center"/>
      <protection/>
    </xf>
    <xf numFmtId="4" fontId="10" fillId="0" borderId="16" xfId="58" applyNumberFormat="1" applyFont="1" applyFill="1" applyBorder="1">
      <alignment/>
      <protection/>
    </xf>
    <xf numFmtId="3" fontId="10" fillId="0" borderId="16" xfId="58" applyNumberFormat="1" applyFont="1" applyFill="1" applyBorder="1">
      <alignment/>
      <protection/>
    </xf>
    <xf numFmtId="0" fontId="10" fillId="0" borderId="19" xfId="57" applyFont="1" applyFill="1" applyBorder="1" applyAlignment="1">
      <alignment horizontal="center" vertical="center"/>
      <protection/>
    </xf>
    <xf numFmtId="172" fontId="10" fillId="0" borderId="19" xfId="56" applyNumberFormat="1" applyFont="1" applyFill="1" applyBorder="1" applyAlignment="1">
      <alignment horizontal="center" vertical="center"/>
      <protection/>
    </xf>
    <xf numFmtId="3" fontId="10" fillId="0" borderId="19" xfId="58" applyNumberFormat="1" applyFont="1" applyFill="1" applyBorder="1">
      <alignment/>
      <protection/>
    </xf>
    <xf numFmtId="3" fontId="64" fillId="0" borderId="16" xfId="58" applyNumberFormat="1" applyFont="1" applyFill="1" applyBorder="1">
      <alignment/>
      <protection/>
    </xf>
    <xf numFmtId="0" fontId="64" fillId="0" borderId="19" xfId="57" applyFont="1" applyFill="1" applyBorder="1" applyAlignment="1">
      <alignment horizontal="center" vertical="center"/>
      <protection/>
    </xf>
    <xf numFmtId="172" fontId="64" fillId="0" borderId="19" xfId="56" applyNumberFormat="1" applyFont="1" applyFill="1" applyBorder="1" applyAlignment="1">
      <alignment horizontal="center" vertical="center"/>
      <protection/>
    </xf>
    <xf numFmtId="3" fontId="64" fillId="0" borderId="19" xfId="58" applyNumberFormat="1" applyFont="1" applyFill="1" applyBorder="1">
      <alignment/>
      <protection/>
    </xf>
    <xf numFmtId="3" fontId="10" fillId="0" borderId="17" xfId="58" applyNumberFormat="1" applyFont="1" applyFill="1" applyBorder="1">
      <alignment/>
      <protection/>
    </xf>
    <xf numFmtId="3" fontId="10" fillId="0" borderId="20" xfId="58" applyNumberFormat="1" applyFont="1" applyFill="1" applyBorder="1">
      <alignment/>
      <protection/>
    </xf>
    <xf numFmtId="0" fontId="7" fillId="35" borderId="30" xfId="56" applyFont="1" applyFill="1" applyBorder="1" applyAlignment="1">
      <alignment/>
      <protection/>
    </xf>
    <xf numFmtId="174" fontId="12" fillId="35" borderId="31" xfId="56" applyNumberFormat="1" applyFont="1" applyFill="1" applyBorder="1" applyAlignment="1">
      <alignment horizontal="center"/>
      <protection/>
    </xf>
    <xf numFmtId="4" fontId="12" fillId="35" borderId="32" xfId="56" applyNumberFormat="1" applyFont="1" applyFill="1" applyBorder="1" applyAlignment="1">
      <alignment horizontal="center"/>
      <protection/>
    </xf>
    <xf numFmtId="4" fontId="12" fillId="13" borderId="33" xfId="56" applyNumberFormat="1" applyFont="1" applyFill="1" applyBorder="1" applyAlignment="1">
      <alignment horizontal="center"/>
      <protection/>
    </xf>
    <xf numFmtId="0" fontId="7" fillId="35" borderId="34" xfId="56" applyFont="1" applyFill="1" applyBorder="1" applyAlignment="1">
      <alignment horizontal="left"/>
      <protection/>
    </xf>
    <xf numFmtId="0" fontId="11" fillId="35" borderId="35" xfId="56" applyFont="1" applyFill="1" applyBorder="1" applyAlignment="1">
      <alignment horizontal="right"/>
      <protection/>
    </xf>
    <xf numFmtId="4" fontId="12" fillId="35" borderId="36" xfId="56" applyNumberFormat="1" applyFont="1" applyFill="1" applyBorder="1" applyAlignment="1">
      <alignment horizontal="center"/>
      <protection/>
    </xf>
    <xf numFmtId="4" fontId="12" fillId="13" borderId="37" xfId="56" applyNumberFormat="1" applyFont="1" applyFill="1" applyBorder="1" applyAlignment="1">
      <alignment horizontal="center"/>
      <protection/>
    </xf>
    <xf numFmtId="0" fontId="12" fillId="13" borderId="38" xfId="56" applyFont="1" applyFill="1" applyBorder="1" applyAlignment="1">
      <alignment horizontal="left"/>
      <protection/>
    </xf>
    <xf numFmtId="0" fontId="12" fillId="13" borderId="39" xfId="56" applyFont="1" applyFill="1" applyBorder="1" applyAlignment="1">
      <alignment horizontal="center"/>
      <protection/>
    </xf>
    <xf numFmtId="4" fontId="12" fillId="13" borderId="39" xfId="56" applyNumberFormat="1" applyFont="1" applyFill="1" applyBorder="1" applyAlignment="1">
      <alignment horizontal="center" vertical="center"/>
      <protection/>
    </xf>
    <xf numFmtId="4" fontId="12" fillId="13" borderId="40" xfId="56" applyNumberFormat="1" applyFont="1" applyFill="1" applyBorder="1" applyAlignment="1">
      <alignment horizontal="center" vertical="center"/>
      <protection/>
    </xf>
    <xf numFmtId="0" fontId="11" fillId="36" borderId="41" xfId="56" applyFont="1" applyFill="1" applyBorder="1" applyAlignment="1">
      <alignment/>
      <protection/>
    </xf>
    <xf numFmtId="0" fontId="11" fillId="35" borderId="42" xfId="56" applyFont="1" applyFill="1" applyBorder="1" applyAlignment="1">
      <alignment horizontal="center"/>
      <protection/>
    </xf>
    <xf numFmtId="10" fontId="12" fillId="35" borderId="43" xfId="63" applyNumberFormat="1" applyFont="1" applyFill="1" applyBorder="1" applyAlignment="1">
      <alignment horizontal="center"/>
    </xf>
    <xf numFmtId="10" fontId="12" fillId="35" borderId="44" xfId="63" applyNumberFormat="1" applyFont="1" applyFill="1" applyBorder="1" applyAlignment="1">
      <alignment horizontal="center"/>
    </xf>
    <xf numFmtId="10" fontId="12" fillId="36" borderId="45" xfId="63" applyNumberFormat="1" applyFont="1" applyFill="1" applyBorder="1" applyAlignment="1">
      <alignment horizontal="center"/>
    </xf>
    <xf numFmtId="0" fontId="13" fillId="0" borderId="0" xfId="56" applyFont="1">
      <alignment/>
      <protection/>
    </xf>
    <xf numFmtId="0" fontId="3" fillId="36" borderId="46" xfId="56" applyFont="1" applyFill="1" applyBorder="1" applyAlignment="1">
      <alignment/>
      <protection/>
    </xf>
    <xf numFmtId="0" fontId="11" fillId="35" borderId="47" xfId="56" applyFont="1" applyFill="1" applyBorder="1" applyAlignment="1">
      <alignment horizontal="center"/>
      <protection/>
    </xf>
    <xf numFmtId="10" fontId="14" fillId="36" borderId="48" xfId="63" applyNumberFormat="1" applyFont="1" applyFill="1" applyBorder="1" applyAlignment="1">
      <alignment horizontal="center"/>
    </xf>
    <xf numFmtId="4" fontId="11" fillId="35" borderId="49" xfId="56" applyNumberFormat="1" applyFont="1" applyFill="1" applyBorder="1" applyAlignment="1">
      <alignment horizontal="center" vertical="center"/>
      <protection/>
    </xf>
    <xf numFmtId="4" fontId="15" fillId="0" borderId="0" xfId="56" applyNumberFormat="1" applyFont="1" applyAlignment="1">
      <alignment horizontal="left"/>
      <protection/>
    </xf>
    <xf numFmtId="0" fontId="10" fillId="0" borderId="0" xfId="56" applyFont="1" applyAlignment="1">
      <alignment horizontal="center"/>
      <protection/>
    </xf>
    <xf numFmtId="4" fontId="7" fillId="0" borderId="0" xfId="56" applyNumberFormat="1" applyFont="1" applyBorder="1">
      <alignment/>
      <protection/>
    </xf>
    <xf numFmtId="3" fontId="11" fillId="36" borderId="49" xfId="56" applyNumberFormat="1" applyFont="1" applyFill="1" applyBorder="1" applyAlignment="1">
      <alignment horizontal="center" vertical="center"/>
      <protection/>
    </xf>
    <xf numFmtId="3" fontId="15" fillId="0" borderId="0" xfId="56" applyNumberFormat="1" applyFont="1" applyAlignment="1">
      <alignment horizontal="left"/>
      <protection/>
    </xf>
    <xf numFmtId="3" fontId="10" fillId="0" borderId="0" xfId="56" applyNumberFormat="1" applyFont="1" applyAlignment="1">
      <alignment horizontal="center"/>
      <protection/>
    </xf>
    <xf numFmtId="0" fontId="2" fillId="0" borderId="0" xfId="56" applyFill="1">
      <alignment/>
      <protection/>
    </xf>
    <xf numFmtId="4" fontId="10" fillId="0" borderId="0" xfId="56" applyNumberFormat="1" applyFont="1" applyAlignment="1">
      <alignment horizontal="center"/>
      <protection/>
    </xf>
    <xf numFmtId="0" fontId="64" fillId="0" borderId="0" xfId="56" applyFont="1" applyAlignment="1">
      <alignment horizontal="center"/>
      <protection/>
    </xf>
    <xf numFmtId="4" fontId="63" fillId="0" borderId="0" xfId="56" applyNumberFormat="1" applyFont="1" applyBorder="1">
      <alignment/>
      <protection/>
    </xf>
    <xf numFmtId="4" fontId="65" fillId="0" borderId="0" xfId="56" applyNumberFormat="1" applyFont="1">
      <alignment/>
      <protection/>
    </xf>
    <xf numFmtId="0" fontId="2" fillId="0" borderId="0" xfId="56" applyAlignment="1">
      <alignment vertical="center"/>
      <protection/>
    </xf>
    <xf numFmtId="0" fontId="64" fillId="0" borderId="0" xfId="56" applyFont="1" applyAlignment="1">
      <alignment vertical="center"/>
      <protection/>
    </xf>
    <xf numFmtId="0" fontId="64" fillId="0" borderId="0" xfId="56" applyFont="1" applyAlignment="1">
      <alignment vertical="top"/>
      <protection/>
    </xf>
    <xf numFmtId="4" fontId="66" fillId="0" borderId="0" xfId="56" applyNumberFormat="1" applyFont="1">
      <alignment/>
      <protection/>
    </xf>
    <xf numFmtId="171" fontId="7" fillId="0" borderId="0" xfId="56" applyNumberFormat="1" applyFont="1">
      <alignment/>
      <protection/>
    </xf>
    <xf numFmtId="4" fontId="8" fillId="0" borderId="0" xfId="56" applyNumberFormat="1" applyFont="1" applyBorder="1">
      <alignment/>
      <protection/>
    </xf>
    <xf numFmtId="0" fontId="2" fillId="0" borderId="0" xfId="56" applyFill="1" applyBorder="1">
      <alignment/>
      <protection/>
    </xf>
    <xf numFmtId="0" fontId="2" fillId="0" borderId="0" xfId="56" applyFont="1" applyAlignment="1">
      <alignment/>
      <protection/>
    </xf>
    <xf numFmtId="0" fontId="13" fillId="0" borderId="0" xfId="56" applyFont="1" applyAlignment="1">
      <alignment/>
      <protection/>
    </xf>
    <xf numFmtId="0" fontId="2" fillId="0" borderId="0" xfId="56" applyAlignment="1">
      <alignment/>
      <protection/>
    </xf>
    <xf numFmtId="0" fontId="62" fillId="0" borderId="0" xfId="56" applyFont="1" applyAlignment="1">
      <alignment vertical="center"/>
      <protection/>
    </xf>
    <xf numFmtId="0" fontId="65" fillId="0" borderId="0" xfId="56" applyFont="1">
      <alignment/>
      <protection/>
    </xf>
    <xf numFmtId="174" fontId="65" fillId="0" borderId="0" xfId="56" applyNumberFormat="1" applyFont="1">
      <alignment/>
      <protection/>
    </xf>
    <xf numFmtId="174" fontId="9" fillId="0" borderId="0" xfId="56" applyNumberFormat="1" applyFont="1">
      <alignment/>
      <protection/>
    </xf>
    <xf numFmtId="0" fontId="11" fillId="0" borderId="0" xfId="56" applyFont="1" applyAlignment="1">
      <alignment/>
      <protection/>
    </xf>
    <xf numFmtId="10" fontId="7" fillId="0" borderId="16" xfId="56" applyNumberFormat="1" applyFont="1" applyFill="1" applyBorder="1" applyAlignment="1">
      <alignment horizontal="center"/>
      <protection/>
    </xf>
    <xf numFmtId="4" fontId="7" fillId="0" borderId="16" xfId="56" applyNumberFormat="1" applyFont="1" applyFill="1" applyBorder="1">
      <alignment/>
      <protection/>
    </xf>
    <xf numFmtId="3" fontId="7" fillId="0" borderId="16" xfId="56" applyNumberFormat="1" applyFont="1" applyFill="1" applyBorder="1">
      <alignment/>
      <protection/>
    </xf>
    <xf numFmtId="0" fontId="7" fillId="0" borderId="19" xfId="56" applyFont="1" applyFill="1" applyBorder="1" applyAlignment="1">
      <alignment horizontal="center" wrapText="1"/>
      <protection/>
    </xf>
    <xf numFmtId="172" fontId="7" fillId="0" borderId="19" xfId="56" applyNumberFormat="1" applyFont="1" applyFill="1" applyBorder="1" applyAlignment="1">
      <alignment horizontal="center"/>
      <protection/>
    </xf>
    <xf numFmtId="4" fontId="7" fillId="0" borderId="19" xfId="56" applyNumberFormat="1" applyFont="1" applyFill="1" applyBorder="1">
      <alignment/>
      <protection/>
    </xf>
    <xf numFmtId="3" fontId="7" fillId="0" borderId="19" xfId="56" applyNumberFormat="1" applyFont="1" applyFill="1" applyBorder="1">
      <alignment/>
      <protection/>
    </xf>
    <xf numFmtId="3" fontId="7" fillId="0" borderId="17" xfId="56" applyNumberFormat="1" applyFont="1" applyFill="1" applyBorder="1">
      <alignment/>
      <protection/>
    </xf>
    <xf numFmtId="3" fontId="7" fillId="0" borderId="20" xfId="56" applyNumberFormat="1" applyFont="1" applyFill="1" applyBorder="1">
      <alignment/>
      <protection/>
    </xf>
    <xf numFmtId="0" fontId="62" fillId="0" borderId="0" xfId="56" applyFont="1" applyFill="1" applyBorder="1">
      <alignment/>
      <protection/>
    </xf>
    <xf numFmtId="10" fontId="10" fillId="0" borderId="16" xfId="56" applyNumberFormat="1" applyFont="1" applyFill="1" applyBorder="1" applyAlignment="1">
      <alignment horizontal="center"/>
      <protection/>
    </xf>
    <xf numFmtId="4" fontId="10" fillId="0" borderId="16" xfId="56" applyNumberFormat="1" applyFont="1" applyFill="1" applyBorder="1">
      <alignment/>
      <protection/>
    </xf>
    <xf numFmtId="0" fontId="16" fillId="0" borderId="0" xfId="56" applyFont="1" applyFill="1" applyBorder="1">
      <alignment/>
      <protection/>
    </xf>
    <xf numFmtId="0" fontId="10" fillId="0" borderId="19" xfId="56" applyFont="1" applyFill="1" applyBorder="1" applyAlignment="1">
      <alignment horizontal="center" vertical="center" wrapText="1"/>
      <protection/>
    </xf>
    <xf numFmtId="172" fontId="10" fillId="0" borderId="19" xfId="56" applyNumberFormat="1" applyFont="1" applyFill="1" applyBorder="1" applyAlignment="1">
      <alignment horizontal="center"/>
      <protection/>
    </xf>
    <xf numFmtId="4" fontId="10" fillId="0" borderId="19" xfId="56" applyNumberFormat="1" applyFont="1" applyFill="1" applyBorder="1">
      <alignment/>
      <protection/>
    </xf>
    <xf numFmtId="4" fontId="12" fillId="35" borderId="31" xfId="56" applyNumberFormat="1" applyFont="1" applyFill="1" applyBorder="1" applyAlignment="1">
      <alignment horizontal="center" vertical="center"/>
      <protection/>
    </xf>
    <xf numFmtId="4" fontId="12" fillId="13" borderId="33" xfId="56" applyNumberFormat="1" applyFont="1" applyFill="1" applyBorder="1" applyAlignment="1">
      <alignment horizontal="center" vertical="center"/>
      <protection/>
    </xf>
    <xf numFmtId="0" fontId="2" fillId="0" borderId="0" xfId="56" applyFont="1" applyFill="1" applyBorder="1">
      <alignment/>
      <protection/>
    </xf>
    <xf numFmtId="0" fontId="7" fillId="35" borderId="50" xfId="56" applyFont="1" applyFill="1" applyBorder="1" applyAlignment="1">
      <alignment horizontal="center"/>
      <protection/>
    </xf>
    <xf numFmtId="0" fontId="11" fillId="35" borderId="36" xfId="56" applyFont="1" applyFill="1" applyBorder="1" applyAlignment="1">
      <alignment horizontal="center"/>
      <protection/>
    </xf>
    <xf numFmtId="4" fontId="12" fillId="13" borderId="51" xfId="56" applyNumberFormat="1" applyFont="1" applyFill="1" applyBorder="1" applyAlignment="1">
      <alignment horizontal="center" vertical="center"/>
      <protection/>
    </xf>
    <xf numFmtId="0" fontId="12" fillId="13" borderId="38" xfId="56" applyFont="1" applyFill="1" applyBorder="1" applyAlignment="1">
      <alignment horizontal="center"/>
      <protection/>
    </xf>
    <xf numFmtId="0" fontId="12" fillId="0" borderId="0" xfId="56" applyFont="1" applyFill="1" applyBorder="1" applyAlignment="1">
      <alignment horizontal="center"/>
      <protection/>
    </xf>
    <xf numFmtId="175" fontId="12" fillId="36" borderId="49" xfId="56" applyNumberFormat="1" applyFont="1" applyFill="1" applyBorder="1" applyAlignment="1">
      <alignment horizontal="center"/>
      <protection/>
    </xf>
    <xf numFmtId="0" fontId="12" fillId="0" borderId="0" xfId="56" applyFont="1" applyFill="1" applyBorder="1" applyAlignment="1">
      <alignment horizontal="left"/>
      <protection/>
    </xf>
    <xf numFmtId="4" fontId="67" fillId="0" borderId="0" xfId="56" applyNumberFormat="1" applyFont="1" applyFill="1" applyBorder="1" applyAlignment="1">
      <alignment horizontal="center" vertical="center"/>
      <protection/>
    </xf>
    <xf numFmtId="4" fontId="12" fillId="0" borderId="0" xfId="56" applyNumberFormat="1" applyFont="1" applyFill="1" applyBorder="1" applyAlignment="1">
      <alignment horizontal="center" vertical="center"/>
      <protection/>
    </xf>
    <xf numFmtId="3" fontId="12" fillId="36" borderId="49" xfId="56" applyNumberFormat="1" applyFont="1" applyFill="1" applyBorder="1" applyAlignment="1">
      <alignment horizontal="center"/>
      <protection/>
    </xf>
    <xf numFmtId="0" fontId="14" fillId="0" borderId="0" xfId="56" applyFont="1" applyAlignment="1">
      <alignment/>
      <protection/>
    </xf>
    <xf numFmtId="0" fontId="11" fillId="0" borderId="0" xfId="56" applyFont="1" applyFill="1" applyBorder="1" applyAlignment="1">
      <alignment horizontal="left" vertical="center"/>
      <protection/>
    </xf>
    <xf numFmtId="3" fontId="67" fillId="0" borderId="0" xfId="56" applyNumberFormat="1" applyFont="1" applyFill="1" applyBorder="1" applyAlignment="1">
      <alignment horizontal="center"/>
      <protection/>
    </xf>
    <xf numFmtId="0" fontId="68" fillId="0" borderId="0" xfId="56" applyFont="1" applyFill="1" applyAlignment="1">
      <alignment/>
      <protection/>
    </xf>
    <xf numFmtId="174" fontId="12" fillId="0" borderId="0" xfId="56" applyNumberFormat="1" applyFont="1" applyFill="1" applyBorder="1" applyAlignment="1">
      <alignment horizontal="left"/>
      <protection/>
    </xf>
    <xf numFmtId="4" fontId="62" fillId="0" borderId="0" xfId="56" applyNumberFormat="1" applyFont="1">
      <alignment/>
      <protection/>
    </xf>
    <xf numFmtId="0" fontId="11" fillId="0" borderId="0" xfId="56" applyFont="1" applyAlignment="1">
      <alignment vertical="center"/>
      <protection/>
    </xf>
    <xf numFmtId="0" fontId="13" fillId="0" borderId="0" xfId="56" applyFont="1" applyAlignment="1">
      <alignment vertical="center"/>
      <protection/>
    </xf>
    <xf numFmtId="0" fontId="7" fillId="35" borderId="49" xfId="56" applyFont="1" applyFill="1" applyBorder="1" applyAlignment="1">
      <alignment/>
      <protection/>
    </xf>
    <xf numFmtId="4" fontId="12" fillId="13" borderId="49" xfId="56" applyNumberFormat="1" applyFont="1" applyFill="1" applyBorder="1" applyAlignment="1">
      <alignment horizontal="center" vertical="center"/>
      <protection/>
    </xf>
    <xf numFmtId="0" fontId="7" fillId="35" borderId="52" xfId="56" applyFont="1" applyFill="1" applyBorder="1" applyAlignment="1">
      <alignment horizontal="center"/>
      <protection/>
    </xf>
    <xf numFmtId="4" fontId="12" fillId="13" borderId="52" xfId="56" applyNumberFormat="1" applyFont="1" applyFill="1" applyBorder="1" applyAlignment="1">
      <alignment horizontal="center" vertical="center"/>
      <protection/>
    </xf>
    <xf numFmtId="0" fontId="12" fillId="13" borderId="53" xfId="56" applyFont="1" applyFill="1" applyBorder="1" applyAlignment="1">
      <alignment horizontal="center"/>
      <protection/>
    </xf>
    <xf numFmtId="4" fontId="12" fillId="13" borderId="53" xfId="56" applyNumberFormat="1" applyFont="1" applyFill="1" applyBorder="1" applyAlignment="1">
      <alignment horizontal="center" vertical="center"/>
      <protection/>
    </xf>
    <xf numFmtId="0" fontId="3" fillId="36" borderId="49" xfId="56" applyFont="1" applyFill="1" applyBorder="1" applyAlignment="1">
      <alignment/>
      <protection/>
    </xf>
    <xf numFmtId="0" fontId="11" fillId="35" borderId="49" xfId="56" applyFont="1" applyFill="1" applyBorder="1" applyAlignment="1">
      <alignment horizontal="center"/>
      <protection/>
    </xf>
    <xf numFmtId="10" fontId="14" fillId="35" borderId="49" xfId="63" applyNumberFormat="1" applyFont="1" applyFill="1" applyBorder="1" applyAlignment="1">
      <alignment horizontal="center"/>
    </xf>
    <xf numFmtId="10" fontId="12" fillId="36" borderId="49" xfId="62" applyNumberFormat="1" applyFont="1" applyFill="1" applyBorder="1" applyAlignment="1">
      <alignment horizontal="center" vertical="center"/>
    </xf>
    <xf numFmtId="0" fontId="12" fillId="36" borderId="49" xfId="56" applyFont="1" applyFill="1" applyBorder="1" applyAlignment="1">
      <alignment horizontal="center" vertical="center"/>
      <protection/>
    </xf>
    <xf numFmtId="0" fontId="4" fillId="0" borderId="0" xfId="56" applyFont="1" applyBorder="1" applyAlignment="1">
      <alignment wrapText="1"/>
      <protection/>
    </xf>
    <xf numFmtId="4" fontId="2" fillId="0" borderId="0" xfId="56" applyNumberFormat="1" applyFont="1">
      <alignment/>
      <protection/>
    </xf>
    <xf numFmtId="10" fontId="62" fillId="0" borderId="0" xfId="56" applyNumberFormat="1" applyFont="1">
      <alignment/>
      <protection/>
    </xf>
    <xf numFmtId="10" fontId="62" fillId="0" borderId="0" xfId="56" applyNumberFormat="1" applyFont="1" applyFill="1" applyBorder="1">
      <alignment/>
      <protection/>
    </xf>
    <xf numFmtId="0" fontId="17" fillId="0" borderId="0" xfId="56" applyFont="1" applyBorder="1">
      <alignment/>
      <protection/>
    </xf>
    <xf numFmtId="0" fontId="17" fillId="0" borderId="0" xfId="56" applyFont="1" applyAlignment="1">
      <alignment horizontal="right"/>
      <protection/>
    </xf>
    <xf numFmtId="10" fontId="69" fillId="0" borderId="0" xfId="56" applyNumberFormat="1" applyFont="1" applyBorder="1" applyAlignment="1">
      <alignment wrapText="1"/>
      <protection/>
    </xf>
    <xf numFmtId="10" fontId="2" fillId="0" borderId="0" xfId="56" applyNumberFormat="1" applyFont="1">
      <alignment/>
      <protection/>
    </xf>
    <xf numFmtId="0" fontId="70" fillId="0" borderId="0" xfId="56" applyFont="1" applyAlignment="1">
      <alignment horizontal="right"/>
      <protection/>
    </xf>
    <xf numFmtId="0" fontId="69" fillId="0" borderId="0" xfId="59" applyFont="1" applyBorder="1" applyProtection="1">
      <alignment/>
      <protection locked="0"/>
    </xf>
    <xf numFmtId="3" fontId="71" fillId="0" borderId="0" xfId="56" applyNumberFormat="1" applyFont="1">
      <alignment/>
      <protection/>
    </xf>
    <xf numFmtId="0" fontId="5" fillId="0" borderId="0" xfId="56" applyFont="1">
      <alignment/>
      <protection/>
    </xf>
    <xf numFmtId="4" fontId="10" fillId="7" borderId="18" xfId="56" applyNumberFormat="1" applyFont="1" applyFill="1" applyBorder="1">
      <alignment/>
      <protection/>
    </xf>
    <xf numFmtId="0" fontId="10" fillId="0" borderId="0" xfId="56" applyFont="1" applyFill="1">
      <alignment/>
      <protection/>
    </xf>
    <xf numFmtId="4" fontId="10" fillId="7" borderId="21" xfId="56" applyNumberFormat="1" applyFont="1" applyFill="1" applyBorder="1">
      <alignment/>
      <protection/>
    </xf>
    <xf numFmtId="4" fontId="8" fillId="0" borderId="49" xfId="56" applyNumberFormat="1" applyFont="1" applyBorder="1">
      <alignment/>
      <protection/>
    </xf>
    <xf numFmtId="4" fontId="8" fillId="0" borderId="54" xfId="56" applyNumberFormat="1" applyFont="1" applyBorder="1">
      <alignment/>
      <protection/>
    </xf>
    <xf numFmtId="0" fontId="9" fillId="0" borderId="0" xfId="56" applyFont="1">
      <alignment/>
      <protection/>
    </xf>
    <xf numFmtId="4" fontId="8" fillId="0" borderId="49" xfId="56" applyNumberFormat="1" applyFont="1" applyBorder="1" applyAlignment="1">
      <alignment horizontal="center"/>
      <protection/>
    </xf>
    <xf numFmtId="10" fontId="7" fillId="0" borderId="16" xfId="56" applyNumberFormat="1" applyFont="1" applyFill="1" applyBorder="1" applyAlignment="1">
      <alignment horizontal="center" vertical="center"/>
      <protection/>
    </xf>
    <xf numFmtId="0" fontId="4" fillId="0" borderId="0" xfId="56" applyFont="1" applyAlignment="1">
      <alignment vertical="center"/>
      <protection/>
    </xf>
    <xf numFmtId="0" fontId="4" fillId="0" borderId="0" xfId="56" applyFont="1" applyAlignment="1">
      <alignment horizontal="left" vertical="center"/>
      <protection/>
    </xf>
    <xf numFmtId="0" fontId="7" fillId="9" borderId="16" xfId="56" applyFont="1" applyFill="1" applyBorder="1" applyAlignment="1">
      <alignment horizontal="center" vertical="center" wrapText="1"/>
      <protection/>
    </xf>
    <xf numFmtId="10" fontId="7" fillId="9" borderId="16" xfId="58" applyNumberFormat="1" applyFont="1" applyFill="1" applyBorder="1" applyAlignment="1">
      <alignment horizontal="center" vertical="center"/>
      <protection/>
    </xf>
    <xf numFmtId="3" fontId="7" fillId="9" borderId="16" xfId="58" applyNumberFormat="1" applyFont="1" applyFill="1" applyBorder="1" applyAlignment="1">
      <alignment vertical="center"/>
      <protection/>
    </xf>
    <xf numFmtId="3" fontId="7" fillId="9" borderId="17" xfId="58" applyNumberFormat="1" applyFont="1" applyFill="1" applyBorder="1" applyAlignment="1">
      <alignment vertical="center"/>
      <protection/>
    </xf>
    <xf numFmtId="4" fontId="7" fillId="9" borderId="18" xfId="56" applyNumberFormat="1" applyFont="1" applyFill="1" applyBorder="1">
      <alignment/>
      <protection/>
    </xf>
    <xf numFmtId="0" fontId="7" fillId="9" borderId="19" xfId="57" applyFont="1" applyFill="1" applyBorder="1" applyAlignment="1">
      <alignment horizontal="center" vertical="center"/>
      <protection/>
    </xf>
    <xf numFmtId="172" fontId="7" fillId="9" borderId="19" xfId="56" applyNumberFormat="1" applyFont="1" applyFill="1" applyBorder="1" applyAlignment="1">
      <alignment horizontal="center" vertical="center"/>
      <protection/>
    </xf>
    <xf numFmtId="3" fontId="7" fillId="9" borderId="19" xfId="58" applyNumberFormat="1" applyFont="1" applyFill="1" applyBorder="1" applyAlignment="1">
      <alignment vertical="center"/>
      <protection/>
    </xf>
    <xf numFmtId="3" fontId="7" fillId="9" borderId="20" xfId="58" applyNumberFormat="1" applyFont="1" applyFill="1" applyBorder="1" applyAlignment="1">
      <alignment vertical="center"/>
      <protection/>
    </xf>
    <xf numFmtId="4" fontId="7" fillId="9" borderId="21" xfId="56" applyNumberFormat="1" applyFont="1" applyFill="1" applyBorder="1">
      <alignment/>
      <protection/>
    </xf>
    <xf numFmtId="174" fontId="11" fillId="35" borderId="55" xfId="56" applyNumberFormat="1" applyFont="1" applyFill="1" applyBorder="1" applyAlignment="1">
      <alignment horizontal="left"/>
      <protection/>
    </xf>
    <xf numFmtId="174" fontId="11" fillId="35" borderId="56" xfId="56" applyNumberFormat="1" applyFont="1" applyFill="1" applyBorder="1" applyAlignment="1">
      <alignment horizontal="left"/>
      <protection/>
    </xf>
    <xf numFmtId="174" fontId="11" fillId="35" borderId="57" xfId="56" applyNumberFormat="1" applyFont="1" applyFill="1" applyBorder="1" applyAlignment="1">
      <alignment horizontal="left"/>
      <protection/>
    </xf>
    <xf numFmtId="174" fontId="12" fillId="13" borderId="58" xfId="56" applyNumberFormat="1" applyFont="1" applyFill="1" applyBorder="1" applyAlignment="1">
      <alignment horizontal="left"/>
      <protection/>
    </xf>
    <xf numFmtId="174" fontId="12" fillId="13" borderId="59" xfId="56" applyNumberFormat="1" applyFont="1" applyFill="1" applyBorder="1" applyAlignment="1">
      <alignment horizontal="left"/>
      <protection/>
    </xf>
    <xf numFmtId="174" fontId="12" fillId="13" borderId="60" xfId="56" applyNumberFormat="1" applyFont="1" applyFill="1" applyBorder="1" applyAlignment="1">
      <alignment horizontal="left"/>
      <protection/>
    </xf>
    <xf numFmtId="0" fontId="11" fillId="36" borderId="46" xfId="56" applyFont="1" applyFill="1" applyBorder="1" applyAlignment="1">
      <alignment horizontal="left"/>
      <protection/>
    </xf>
    <xf numFmtId="0" fontId="11" fillId="36" borderId="44" xfId="56" applyFont="1" applyFill="1" applyBorder="1" applyAlignment="1">
      <alignment horizontal="left"/>
      <protection/>
    </xf>
    <xf numFmtId="0" fontId="11" fillId="36" borderId="47" xfId="56" applyFont="1" applyFill="1" applyBorder="1" applyAlignment="1">
      <alignment horizontal="left"/>
      <protection/>
    </xf>
    <xf numFmtId="0" fontId="8" fillId="0" borderId="0" xfId="56" applyFont="1" applyAlignment="1">
      <alignment horizontal="right"/>
      <protection/>
    </xf>
    <xf numFmtId="174" fontId="11" fillId="13" borderId="39" xfId="56" applyNumberFormat="1" applyFont="1" applyFill="1" applyBorder="1" applyAlignment="1">
      <alignment horizontal="left"/>
      <protection/>
    </xf>
    <xf numFmtId="0" fontId="11" fillId="13" borderId="39" xfId="56" applyFont="1" applyFill="1" applyBorder="1" applyAlignment="1">
      <alignment horizontal="left"/>
      <protection/>
    </xf>
    <xf numFmtId="0" fontId="11" fillId="36" borderId="46" xfId="56" applyFont="1" applyFill="1" applyBorder="1" applyAlignment="1">
      <alignment horizontal="left" vertical="center"/>
      <protection/>
    </xf>
    <xf numFmtId="0" fontId="11" fillId="36" borderId="44" xfId="56" applyFont="1" applyFill="1" applyBorder="1" applyAlignment="1">
      <alignment horizontal="left" vertical="center"/>
      <protection/>
    </xf>
    <xf numFmtId="0" fontId="11" fillId="36" borderId="47" xfId="56" applyFont="1" applyFill="1" applyBorder="1" applyAlignment="1">
      <alignment horizontal="left" vertical="center"/>
      <protection/>
    </xf>
    <xf numFmtId="0" fontId="14" fillId="0" borderId="0" xfId="56" applyFont="1" applyAlignment="1">
      <alignment horizontal="right"/>
      <protection/>
    </xf>
    <xf numFmtId="174" fontId="11" fillId="36" borderId="46" xfId="56" applyNumberFormat="1" applyFont="1" applyFill="1" applyBorder="1" applyAlignment="1">
      <alignment horizontal="left"/>
      <protection/>
    </xf>
    <xf numFmtId="174" fontId="11" fillId="36" borderId="44" xfId="56" applyNumberFormat="1" applyFont="1" applyFill="1" applyBorder="1" applyAlignment="1">
      <alignment horizontal="left"/>
      <protection/>
    </xf>
    <xf numFmtId="174" fontId="11" fillId="36" borderId="47" xfId="56" applyNumberFormat="1" applyFont="1" applyFill="1" applyBorder="1" applyAlignment="1">
      <alignment horizontal="left"/>
      <protection/>
    </xf>
    <xf numFmtId="0" fontId="7" fillId="0" borderId="61" xfId="56" applyFont="1" applyFill="1" applyBorder="1" applyAlignment="1">
      <alignment horizontal="center" vertical="center"/>
      <protection/>
    </xf>
    <xf numFmtId="0" fontId="7" fillId="0" borderId="62" xfId="56" applyFont="1" applyFill="1" applyBorder="1" applyAlignment="1">
      <alignment horizontal="center" vertical="center"/>
      <protection/>
    </xf>
    <xf numFmtId="3" fontId="7" fillId="0" borderId="16" xfId="56" applyNumberFormat="1" applyFont="1" applyFill="1" applyBorder="1" applyAlignment="1">
      <alignment horizontal="center" vertical="center" wrapText="1"/>
      <protection/>
    </xf>
    <xf numFmtId="0" fontId="7" fillId="0" borderId="19" xfId="56" applyFont="1" applyFill="1" applyBorder="1" applyAlignment="1">
      <alignment horizontal="center" vertical="center" wrapText="1"/>
      <protection/>
    </xf>
    <xf numFmtId="175" fontId="10" fillId="0" borderId="16" xfId="44" applyNumberFormat="1" applyFont="1" applyFill="1" applyBorder="1" applyAlignment="1">
      <alignment horizontal="center" vertical="center"/>
    </xf>
    <xf numFmtId="175" fontId="10" fillId="0" borderId="19" xfId="44" applyNumberFormat="1" applyFont="1" applyFill="1" applyBorder="1" applyAlignment="1">
      <alignment horizontal="center" vertical="center"/>
    </xf>
    <xf numFmtId="0" fontId="10" fillId="0" borderId="16" xfId="56" applyFont="1" applyFill="1" applyBorder="1" applyAlignment="1">
      <alignment horizontal="center" vertical="center" wrapText="1"/>
      <protection/>
    </xf>
    <xf numFmtId="0" fontId="10" fillId="0" borderId="19" xfId="56" applyFont="1" applyFill="1" applyBorder="1" applyAlignment="1">
      <alignment horizontal="center" vertical="center" wrapText="1"/>
      <protection/>
    </xf>
    <xf numFmtId="174" fontId="11" fillId="36" borderId="63" xfId="56" applyNumberFormat="1" applyFont="1" applyFill="1" applyBorder="1" applyAlignment="1">
      <alignment horizontal="left"/>
      <protection/>
    </xf>
    <xf numFmtId="174" fontId="11" fillId="36" borderId="64" xfId="56" applyNumberFormat="1" applyFont="1" applyFill="1" applyBorder="1" applyAlignment="1">
      <alignment horizontal="left"/>
      <protection/>
    </xf>
    <xf numFmtId="174" fontId="11" fillId="36" borderId="65" xfId="56" applyNumberFormat="1" applyFont="1" applyFill="1" applyBorder="1" applyAlignment="1">
      <alignment horizontal="left"/>
      <protection/>
    </xf>
    <xf numFmtId="175" fontId="7" fillId="0" borderId="16" xfId="44" applyNumberFormat="1" applyFont="1" applyFill="1" applyBorder="1" applyAlignment="1">
      <alignment horizontal="center" vertical="center"/>
    </xf>
    <xf numFmtId="175" fontId="7" fillId="0" borderId="19" xfId="44" applyNumberFormat="1" applyFont="1" applyFill="1" applyBorder="1" applyAlignment="1">
      <alignment horizontal="center" vertical="center"/>
    </xf>
    <xf numFmtId="0" fontId="7" fillId="0" borderId="16" xfId="56" applyFont="1" applyFill="1" applyBorder="1" applyAlignment="1">
      <alignment horizontal="center" wrapText="1"/>
      <protection/>
    </xf>
    <xf numFmtId="0" fontId="7" fillId="0" borderId="19" xfId="56" applyFont="1" applyFill="1" applyBorder="1" applyAlignment="1">
      <alignment horizontal="center" wrapText="1"/>
      <protection/>
    </xf>
    <xf numFmtId="0" fontId="7" fillId="0" borderId="16" xfId="56" applyFont="1" applyFill="1" applyBorder="1" applyAlignment="1">
      <alignment horizontal="center" vertical="center" wrapText="1"/>
      <protection/>
    </xf>
    <xf numFmtId="0" fontId="3" fillId="0" borderId="49" xfId="56" applyFont="1" applyFill="1" applyBorder="1" applyAlignment="1">
      <alignment horizontal="right" vertical="center"/>
      <protection/>
    </xf>
    <xf numFmtId="0" fontId="3" fillId="0" borderId="49" xfId="56" applyFont="1" applyFill="1" applyBorder="1" applyAlignment="1">
      <alignment horizontal="right" vertical="center" wrapText="1"/>
      <protection/>
    </xf>
    <xf numFmtId="0" fontId="14" fillId="0" borderId="49" xfId="56" applyFont="1" applyFill="1" applyBorder="1" applyAlignment="1">
      <alignment horizontal="right" vertical="center" wrapText="1"/>
      <protection/>
    </xf>
    <xf numFmtId="0" fontId="3" fillId="0" borderId="49" xfId="56" applyFont="1" applyBorder="1" applyAlignment="1">
      <alignment horizontal="right" vertical="center"/>
      <protection/>
    </xf>
    <xf numFmtId="0" fontId="11" fillId="0" borderId="46" xfId="56" applyFont="1" applyBorder="1" applyAlignment="1">
      <alignment horizontal="right" vertical="center"/>
      <protection/>
    </xf>
    <xf numFmtId="0" fontId="11" fillId="0" borderId="44" xfId="56" applyFont="1" applyBorder="1" applyAlignment="1">
      <alignment horizontal="right" vertical="center"/>
      <protection/>
    </xf>
    <xf numFmtId="0" fontId="11" fillId="0" borderId="47" xfId="56" applyFont="1" applyBorder="1" applyAlignment="1">
      <alignment horizontal="right" vertical="center"/>
      <protection/>
    </xf>
    <xf numFmtId="174" fontId="11" fillId="36" borderId="66" xfId="56" applyNumberFormat="1" applyFont="1" applyFill="1" applyBorder="1" applyAlignment="1">
      <alignment horizontal="left"/>
      <protection/>
    </xf>
    <xf numFmtId="174" fontId="11" fillId="36" borderId="67" xfId="56" applyNumberFormat="1" applyFont="1" applyFill="1" applyBorder="1" applyAlignment="1">
      <alignment horizontal="left"/>
      <protection/>
    </xf>
    <xf numFmtId="174" fontId="11" fillId="36" borderId="68" xfId="56" applyNumberFormat="1" applyFont="1" applyFill="1" applyBorder="1" applyAlignment="1">
      <alignment horizontal="left"/>
      <protection/>
    </xf>
    <xf numFmtId="174" fontId="11" fillId="13" borderId="69" xfId="56" applyNumberFormat="1" applyFont="1" applyFill="1" applyBorder="1" applyAlignment="1">
      <alignment horizontal="left"/>
      <protection/>
    </xf>
    <xf numFmtId="174" fontId="11" fillId="13" borderId="59" xfId="56" applyNumberFormat="1" applyFont="1" applyFill="1" applyBorder="1" applyAlignment="1">
      <alignment horizontal="left"/>
      <protection/>
    </xf>
    <xf numFmtId="174" fontId="11" fillId="13" borderId="70" xfId="56" applyNumberFormat="1" applyFont="1" applyFill="1" applyBorder="1" applyAlignment="1">
      <alignment horizontal="left"/>
      <protection/>
    </xf>
    <xf numFmtId="0" fontId="11" fillId="36" borderId="71" xfId="56" applyFont="1" applyFill="1" applyBorder="1" applyAlignment="1">
      <alignment horizontal="left"/>
      <protection/>
    </xf>
    <xf numFmtId="0" fontId="11" fillId="36" borderId="72" xfId="56" applyFont="1" applyFill="1" applyBorder="1" applyAlignment="1">
      <alignment horizontal="left"/>
      <protection/>
    </xf>
    <xf numFmtId="0" fontId="7" fillId="0" borderId="73" xfId="56" applyFont="1" applyFill="1" applyBorder="1" applyAlignment="1">
      <alignment horizontal="center" vertical="center"/>
      <protection/>
    </xf>
    <xf numFmtId="0" fontId="7" fillId="0" borderId="74" xfId="56" applyFont="1" applyFill="1" applyBorder="1" applyAlignment="1">
      <alignment horizontal="center" vertical="center"/>
      <protection/>
    </xf>
    <xf numFmtId="0" fontId="10" fillId="0" borderId="75" xfId="57" applyFont="1" applyFill="1" applyBorder="1" applyAlignment="1">
      <alignment horizontal="center" vertical="center" wrapText="1"/>
      <protection/>
    </xf>
    <xf numFmtId="0" fontId="10" fillId="0" borderId="76" xfId="57" applyFont="1" applyFill="1" applyBorder="1" applyAlignment="1">
      <alignment horizontal="center" vertical="center" wrapText="1"/>
      <protection/>
    </xf>
    <xf numFmtId="4" fontId="64" fillId="0" borderId="75" xfId="44" applyNumberFormat="1" applyFont="1" applyFill="1" applyBorder="1" applyAlignment="1">
      <alignment horizontal="center" vertical="center"/>
    </xf>
    <xf numFmtId="4" fontId="64" fillId="0" borderId="76" xfId="44" applyNumberFormat="1" applyFont="1" applyFill="1" applyBorder="1" applyAlignment="1">
      <alignment horizontal="center" vertical="center"/>
    </xf>
    <xf numFmtId="0" fontId="10" fillId="0" borderId="75" xfId="56" applyFont="1" applyFill="1" applyBorder="1" applyAlignment="1">
      <alignment horizontal="center" vertical="center" wrapText="1"/>
      <protection/>
    </xf>
    <xf numFmtId="0" fontId="10" fillId="0" borderId="76" xfId="56" applyFont="1" applyFill="1" applyBorder="1" applyAlignment="1">
      <alignment horizontal="center" vertical="center" wrapText="1"/>
      <protection/>
    </xf>
    <xf numFmtId="174" fontId="11" fillId="36" borderId="28" xfId="56" applyNumberFormat="1" applyFont="1" applyFill="1" applyBorder="1" applyAlignment="1">
      <alignment horizontal="left"/>
      <protection/>
    </xf>
    <xf numFmtId="174" fontId="11" fillId="36" borderId="77" xfId="56" applyNumberFormat="1" applyFont="1" applyFill="1" applyBorder="1" applyAlignment="1">
      <alignment horizontal="left"/>
      <protection/>
    </xf>
    <xf numFmtId="174" fontId="11" fillId="36" borderId="78" xfId="56" applyNumberFormat="1" applyFont="1" applyFill="1" applyBorder="1" applyAlignment="1">
      <alignment horizontal="left"/>
      <protection/>
    </xf>
    <xf numFmtId="0" fontId="10" fillId="0" borderId="73" xfId="56" applyFont="1" applyFill="1" applyBorder="1" applyAlignment="1">
      <alignment horizontal="center" vertical="center"/>
      <protection/>
    </xf>
    <xf numFmtId="0" fontId="10" fillId="0" borderId="74" xfId="56" applyFont="1" applyFill="1" applyBorder="1" applyAlignment="1">
      <alignment horizontal="center" vertical="center"/>
      <protection/>
    </xf>
    <xf numFmtId="4" fontId="10" fillId="0" borderId="75" xfId="44" applyNumberFormat="1" applyFont="1" applyFill="1" applyBorder="1" applyAlignment="1">
      <alignment horizontal="center" vertical="center"/>
    </xf>
    <xf numFmtId="4" fontId="10" fillId="0" borderId="76" xfId="44" applyNumberFormat="1" applyFont="1" applyFill="1" applyBorder="1" applyAlignment="1">
      <alignment horizontal="center" vertical="center"/>
    </xf>
    <xf numFmtId="0" fontId="10" fillId="0" borderId="16" xfId="57" applyFont="1" applyFill="1" applyBorder="1" applyAlignment="1">
      <alignment horizontal="center" vertical="center" wrapText="1"/>
      <protection/>
    </xf>
    <xf numFmtId="0" fontId="10" fillId="0" borderId="19" xfId="57" applyFont="1" applyFill="1" applyBorder="1" applyAlignment="1">
      <alignment horizontal="center" vertical="center" wrapText="1"/>
      <protection/>
    </xf>
    <xf numFmtId="4" fontId="10" fillId="0" borderId="16" xfId="44" applyNumberFormat="1" applyFont="1" applyFill="1" applyBorder="1" applyAlignment="1">
      <alignment horizontal="center" vertical="center"/>
    </xf>
    <xf numFmtId="4" fontId="10" fillId="0" borderId="19" xfId="44" applyNumberFormat="1" applyFont="1" applyFill="1" applyBorder="1" applyAlignment="1">
      <alignment horizontal="center" vertical="center"/>
    </xf>
    <xf numFmtId="0" fontId="64" fillId="0" borderId="16" xfId="57" applyFont="1" applyFill="1" applyBorder="1" applyAlignment="1">
      <alignment horizontal="center" vertical="center" wrapText="1"/>
      <protection/>
    </xf>
    <xf numFmtId="0" fontId="64" fillId="0" borderId="19" xfId="57" applyFont="1" applyFill="1" applyBorder="1" applyAlignment="1">
      <alignment horizontal="center" vertical="center" wrapText="1"/>
      <protection/>
    </xf>
    <xf numFmtId="0" fontId="64" fillId="0" borderId="75" xfId="56" applyFont="1" applyFill="1" applyBorder="1" applyAlignment="1">
      <alignment horizontal="center" vertical="center" wrapText="1"/>
      <protection/>
    </xf>
    <xf numFmtId="0" fontId="64" fillId="0" borderId="76" xfId="56" applyFont="1" applyFill="1" applyBorder="1" applyAlignment="1">
      <alignment horizontal="center" vertical="center" wrapText="1"/>
      <protection/>
    </xf>
    <xf numFmtId="0" fontId="7" fillId="0" borderId="75" xfId="57" applyFont="1" applyFill="1" applyBorder="1" applyAlignment="1">
      <alignment horizontal="center" vertical="center" wrapText="1"/>
      <protection/>
    </xf>
    <xf numFmtId="0" fontId="7" fillId="0" borderId="76" xfId="57" applyFont="1" applyFill="1" applyBorder="1" applyAlignment="1">
      <alignment horizontal="center" vertical="center" wrapText="1"/>
      <protection/>
    </xf>
    <xf numFmtId="4" fontId="7" fillId="0" borderId="75" xfId="44" applyNumberFormat="1" applyFont="1" applyFill="1" applyBorder="1" applyAlignment="1">
      <alignment horizontal="center" vertical="center"/>
    </xf>
    <xf numFmtId="4" fontId="7" fillId="0" borderId="76" xfId="44" applyNumberFormat="1" applyFont="1" applyFill="1" applyBorder="1" applyAlignment="1">
      <alignment horizontal="center" vertical="center"/>
    </xf>
    <xf numFmtId="0" fontId="7" fillId="0" borderId="75" xfId="56" applyFont="1" applyFill="1" applyBorder="1" applyAlignment="1">
      <alignment horizontal="center" vertical="center" wrapText="1"/>
      <protection/>
    </xf>
    <xf numFmtId="0" fontId="7" fillId="0" borderId="76" xfId="56" applyFont="1" applyFill="1" applyBorder="1" applyAlignment="1">
      <alignment horizontal="center" vertical="center" wrapText="1"/>
      <protection/>
    </xf>
    <xf numFmtId="0" fontId="7" fillId="0" borderId="16" xfId="57" applyFont="1" applyFill="1" applyBorder="1" applyAlignment="1">
      <alignment horizontal="center" vertical="center" wrapText="1"/>
      <protection/>
    </xf>
    <xf numFmtId="0" fontId="7" fillId="0" borderId="19" xfId="57" applyFont="1" applyFill="1" applyBorder="1" applyAlignment="1">
      <alignment horizontal="center" vertical="center" wrapText="1"/>
      <protection/>
    </xf>
    <xf numFmtId="4" fontId="7" fillId="0" borderId="16" xfId="44" applyNumberFormat="1" applyFont="1" applyFill="1" applyBorder="1" applyAlignment="1">
      <alignment horizontal="center" vertical="center"/>
    </xf>
    <xf numFmtId="4" fontId="7" fillId="0" borderId="19" xfId="44" applyNumberFormat="1" applyFont="1" applyFill="1" applyBorder="1" applyAlignment="1">
      <alignment horizontal="center" vertical="center"/>
    </xf>
    <xf numFmtId="4" fontId="7" fillId="0" borderId="75" xfId="57" applyNumberFormat="1" applyFont="1" applyFill="1" applyBorder="1" applyAlignment="1">
      <alignment horizontal="center" vertical="center" wrapText="1"/>
      <protection/>
    </xf>
    <xf numFmtId="4" fontId="7" fillId="0" borderId="76" xfId="57" applyNumberFormat="1" applyFont="1" applyFill="1" applyBorder="1" applyAlignment="1">
      <alignment horizontal="center" vertical="center" wrapText="1"/>
      <protection/>
    </xf>
    <xf numFmtId="0" fontId="7" fillId="0" borderId="79" xfId="56" applyFont="1" applyFill="1" applyBorder="1" applyAlignment="1">
      <alignment horizontal="center" vertical="center" wrapText="1"/>
      <protection/>
    </xf>
    <xf numFmtId="0" fontId="7" fillId="0" borderId="80" xfId="56" applyFont="1" applyFill="1" applyBorder="1" applyAlignment="1">
      <alignment horizontal="center" vertical="center" wrapText="1"/>
      <protection/>
    </xf>
    <xf numFmtId="0" fontId="7" fillId="0" borderId="81" xfId="56" applyFont="1" applyFill="1" applyBorder="1" applyAlignment="1">
      <alignment horizontal="center" vertical="center" wrapText="1"/>
      <protection/>
    </xf>
    <xf numFmtId="0" fontId="7" fillId="0" borderId="22" xfId="57" applyFont="1" applyFill="1" applyBorder="1" applyAlignment="1">
      <alignment horizontal="center" vertical="center" wrapText="1"/>
      <protection/>
    </xf>
    <xf numFmtId="4" fontId="7" fillId="0" borderId="22" xfId="44" applyNumberFormat="1" applyFont="1" applyFill="1" applyBorder="1" applyAlignment="1">
      <alignment horizontal="center" vertical="center"/>
    </xf>
    <xf numFmtId="4" fontId="7" fillId="0" borderId="16" xfId="44" applyNumberFormat="1" applyFont="1" applyFill="1" applyBorder="1" applyAlignment="1">
      <alignment horizontal="center" vertical="center" wrapText="1"/>
    </xf>
    <xf numFmtId="4" fontId="7" fillId="0" borderId="19" xfId="44" applyNumberFormat="1" applyFont="1" applyFill="1" applyBorder="1" applyAlignment="1">
      <alignment horizontal="center" vertical="center" wrapText="1"/>
    </xf>
    <xf numFmtId="0" fontId="7" fillId="0" borderId="82" xfId="56" applyFont="1" applyFill="1" applyBorder="1" applyAlignment="1">
      <alignment horizontal="center" vertical="center"/>
      <protection/>
    </xf>
    <xf numFmtId="0" fontId="7" fillId="0" borderId="25" xfId="57" applyFont="1" applyFill="1" applyBorder="1" applyAlignment="1">
      <alignment horizontal="center" vertical="center" wrapText="1"/>
      <protection/>
    </xf>
    <xf numFmtId="4" fontId="7" fillId="0" borderId="25" xfId="44" applyNumberFormat="1" applyFont="1" applyFill="1" applyBorder="1" applyAlignment="1">
      <alignment horizontal="center" vertical="center"/>
    </xf>
    <xf numFmtId="0" fontId="7" fillId="0" borderId="83" xfId="56" applyFont="1" applyFill="1" applyBorder="1" applyAlignment="1">
      <alignment horizontal="center" vertical="center"/>
      <protection/>
    </xf>
    <xf numFmtId="0" fontId="7" fillId="0" borderId="75" xfId="56" applyFont="1" applyFill="1" applyBorder="1" applyAlignment="1">
      <alignment horizontal="center" wrapText="1"/>
      <protection/>
    </xf>
    <xf numFmtId="0" fontId="7" fillId="0" borderId="76" xfId="56" applyFont="1" applyFill="1" applyBorder="1" applyAlignment="1">
      <alignment horizontal="center" wrapText="1"/>
      <protection/>
    </xf>
    <xf numFmtId="0" fontId="7" fillId="0" borderId="79" xfId="56" applyFont="1" applyFill="1" applyBorder="1" applyAlignment="1">
      <alignment horizontal="center" wrapText="1"/>
      <protection/>
    </xf>
    <xf numFmtId="0" fontId="7" fillId="0" borderId="81" xfId="56" applyFont="1" applyFill="1" applyBorder="1" applyAlignment="1">
      <alignment horizontal="center" wrapText="1"/>
      <protection/>
    </xf>
    <xf numFmtId="3" fontId="7" fillId="0" borderId="16" xfId="57" applyNumberFormat="1" applyFont="1" applyFill="1" applyBorder="1" applyAlignment="1">
      <alignment horizontal="center" vertical="center" wrapText="1"/>
      <protection/>
    </xf>
    <xf numFmtId="0" fontId="7" fillId="0" borderId="84" xfId="56" applyFont="1" applyFill="1" applyBorder="1" applyAlignment="1">
      <alignment horizontal="center" wrapText="1"/>
      <protection/>
    </xf>
    <xf numFmtId="0" fontId="7" fillId="0" borderId="80" xfId="56" applyFont="1" applyFill="1" applyBorder="1" applyAlignment="1">
      <alignment horizontal="center" wrapText="1"/>
      <protection/>
    </xf>
    <xf numFmtId="14" fontId="7" fillId="0" borderId="84" xfId="56" applyNumberFormat="1" applyFont="1" applyFill="1" applyBorder="1" applyAlignment="1">
      <alignment horizontal="center" vertical="center" wrapText="1"/>
      <protection/>
    </xf>
    <xf numFmtId="0" fontId="6" fillId="0" borderId="0" xfId="57" applyFont="1" applyBorder="1" applyAlignment="1">
      <alignment horizontal="center"/>
      <protection/>
    </xf>
    <xf numFmtId="0" fontId="8" fillId="33" borderId="85" xfId="56" applyFont="1" applyFill="1" applyBorder="1" applyAlignment="1">
      <alignment horizontal="center" vertical="center" wrapText="1"/>
      <protection/>
    </xf>
    <xf numFmtId="0" fontId="8" fillId="33" borderId="86" xfId="56" applyFont="1" applyFill="1" applyBorder="1" applyAlignment="1">
      <alignment horizontal="center" vertical="center" wrapText="1"/>
      <protection/>
    </xf>
    <xf numFmtId="0" fontId="8" fillId="33" borderId="87" xfId="56" applyFont="1" applyFill="1" applyBorder="1" applyAlignment="1">
      <alignment horizontal="center" vertical="center" wrapText="1"/>
      <protection/>
    </xf>
    <xf numFmtId="0" fontId="8" fillId="33" borderId="88" xfId="56" applyFont="1" applyFill="1" applyBorder="1" applyAlignment="1">
      <alignment horizontal="center" vertical="center" wrapText="1"/>
      <protection/>
    </xf>
    <xf numFmtId="0" fontId="8" fillId="33" borderId="10" xfId="56" applyFont="1" applyFill="1" applyBorder="1" applyAlignment="1">
      <alignment horizontal="center" vertical="center"/>
      <protection/>
    </xf>
    <xf numFmtId="0" fontId="8" fillId="33" borderId="13" xfId="56" applyFont="1" applyFill="1" applyBorder="1" applyAlignment="1">
      <alignment horizontal="center" vertical="center"/>
      <protection/>
    </xf>
    <xf numFmtId="0" fontId="7" fillId="9" borderId="61" xfId="56" applyFont="1" applyFill="1" applyBorder="1" applyAlignment="1">
      <alignment horizontal="center" vertical="center"/>
      <protection/>
    </xf>
    <xf numFmtId="0" fontId="7" fillId="9" borderId="62" xfId="56" applyFont="1" applyFill="1" applyBorder="1" applyAlignment="1">
      <alignment horizontal="center" vertical="center"/>
      <protection/>
    </xf>
    <xf numFmtId="0" fontId="7" fillId="9" borderId="16" xfId="57" applyFont="1" applyFill="1" applyBorder="1" applyAlignment="1">
      <alignment horizontal="center" vertical="center" wrapText="1"/>
      <protection/>
    </xf>
    <xf numFmtId="0" fontId="7" fillId="9" borderId="19" xfId="57" applyFont="1" applyFill="1" applyBorder="1" applyAlignment="1">
      <alignment horizontal="center" vertical="center" wrapText="1"/>
      <protection/>
    </xf>
    <xf numFmtId="4" fontId="7" fillId="9" borderId="16" xfId="44" applyNumberFormat="1" applyFont="1" applyFill="1" applyBorder="1" applyAlignment="1">
      <alignment horizontal="center" vertical="center"/>
    </xf>
    <xf numFmtId="4" fontId="7" fillId="9" borderId="19" xfId="44" applyNumberFormat="1" applyFont="1" applyFill="1" applyBorder="1" applyAlignment="1">
      <alignment horizontal="center" vertical="center"/>
    </xf>
    <xf numFmtId="0" fontId="7" fillId="9" borderId="79" xfId="56" applyFont="1" applyFill="1" applyBorder="1" applyAlignment="1">
      <alignment horizontal="center" wrapText="1"/>
      <protection/>
    </xf>
    <xf numFmtId="0" fontId="7" fillId="9" borderId="81" xfId="56" applyFont="1" applyFill="1" applyBorder="1" applyAlignment="1">
      <alignment horizont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Pašvaldības saistības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 2 2" xfId="56"/>
    <cellStyle name="Normal 5 2 2" xfId="57"/>
    <cellStyle name="Normal 6 2 3" xfId="58"/>
    <cellStyle name="Normal_Pamatformas 2" xfId="59"/>
    <cellStyle name="Note" xfId="60"/>
    <cellStyle name="Output" xfId="61"/>
    <cellStyle name="Percent" xfId="62"/>
    <cellStyle name="Percent 4 2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1"/>
  <sheetViews>
    <sheetView tabSelected="1" zoomScalePageLayoutView="0" workbookViewId="0" topLeftCell="A1">
      <selection activeCell="C39" sqref="C39:C40"/>
    </sheetView>
  </sheetViews>
  <sheetFormatPr defaultColWidth="9.140625" defaultRowHeight="15"/>
  <cols>
    <col min="1" max="1" width="4.57421875" style="1" customWidth="1"/>
    <col min="2" max="2" width="10.140625" style="127" customWidth="1"/>
    <col min="3" max="3" width="42.140625" style="132" customWidth="1"/>
    <col min="4" max="4" width="4.140625" style="132" customWidth="1"/>
    <col min="5" max="5" width="13.8515625" style="142" customWidth="1"/>
    <col min="6" max="6" width="10.421875" style="6" customWidth="1"/>
    <col min="7" max="7" width="11.421875" style="6" customWidth="1"/>
    <col min="8" max="8" width="11.140625" style="6" customWidth="1"/>
    <col min="9" max="10" width="10.8515625" style="6" customWidth="1"/>
    <col min="11" max="11" width="11.00390625" style="6" customWidth="1"/>
    <col min="12" max="12" width="12.28125" style="6" customWidth="1"/>
    <col min="13" max="16" width="11.140625" style="6" customWidth="1"/>
    <col min="17" max="22" width="11.7109375" style="6" customWidth="1"/>
    <col min="23" max="23" width="13.140625" style="1" customWidth="1"/>
    <col min="24" max="16384" width="9.140625" style="8" customWidth="1"/>
  </cols>
  <sheetData>
    <row r="1" spans="2:13" ht="15.75">
      <c r="B1" s="2"/>
      <c r="C1" s="3"/>
      <c r="D1" s="3"/>
      <c r="E1" s="4"/>
      <c r="F1" s="5"/>
      <c r="G1" s="5"/>
      <c r="M1" s="7" t="s">
        <v>336</v>
      </c>
    </row>
    <row r="2" spans="2:12" ht="15">
      <c r="B2" s="2"/>
      <c r="C2" s="3"/>
      <c r="D2" s="3"/>
      <c r="E2" s="4"/>
      <c r="F2" s="5"/>
      <c r="G2" s="5"/>
      <c r="L2" s="9"/>
    </row>
    <row r="3" spans="2:12" ht="15">
      <c r="B3" s="2"/>
      <c r="C3" s="3"/>
      <c r="D3" s="3"/>
      <c r="E3" s="4"/>
      <c r="F3" s="5"/>
      <c r="G3" s="5"/>
      <c r="L3" s="10"/>
    </row>
    <row r="4" spans="1:23" ht="18" customHeight="1">
      <c r="A4" s="331" t="s">
        <v>0</v>
      </c>
      <c r="B4" s="331"/>
      <c r="C4" s="331"/>
      <c r="D4" s="331"/>
      <c r="E4" s="331"/>
      <c r="F4" s="331"/>
      <c r="G4" s="33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2"/>
    </row>
    <row r="5" spans="1:23" s="18" customFormat="1" ht="12.75" customHeight="1">
      <c r="A5" s="332" t="s">
        <v>1</v>
      </c>
      <c r="B5" s="334" t="s">
        <v>2</v>
      </c>
      <c r="C5" s="336" t="s">
        <v>3</v>
      </c>
      <c r="D5" s="13"/>
      <c r="E5" s="13" t="s">
        <v>4</v>
      </c>
      <c r="F5" s="13" t="s">
        <v>5</v>
      </c>
      <c r="G5" s="13" t="s">
        <v>6</v>
      </c>
      <c r="H5" s="14"/>
      <c r="I5" s="15">
        <v>0.05</v>
      </c>
      <c r="J5" s="14"/>
      <c r="K5" s="15">
        <v>0.04</v>
      </c>
      <c r="L5" s="14"/>
      <c r="M5" s="16"/>
      <c r="N5" s="16"/>
      <c r="O5" s="16"/>
      <c r="P5" s="16"/>
      <c r="Q5" s="16"/>
      <c r="R5" s="16"/>
      <c r="S5" s="16"/>
      <c r="T5" s="16"/>
      <c r="U5" s="16"/>
      <c r="V5" s="16"/>
      <c r="W5" s="17" t="s">
        <v>7</v>
      </c>
    </row>
    <row r="6" spans="1:23" s="18" customFormat="1" ht="12.75">
      <c r="A6" s="333"/>
      <c r="B6" s="335"/>
      <c r="C6" s="337"/>
      <c r="D6" s="19"/>
      <c r="E6" s="19" t="s">
        <v>8</v>
      </c>
      <c r="F6" s="19" t="s">
        <v>9</v>
      </c>
      <c r="G6" s="19" t="s">
        <v>10</v>
      </c>
      <c r="H6" s="19">
        <v>2024</v>
      </c>
      <c r="I6" s="19">
        <f aca="true" t="shared" si="0" ref="I6:U6">SUM(H6+1)</f>
        <v>2025</v>
      </c>
      <c r="J6" s="19">
        <f t="shared" si="0"/>
        <v>2026</v>
      </c>
      <c r="K6" s="19">
        <f t="shared" si="0"/>
        <v>2027</v>
      </c>
      <c r="L6" s="19">
        <f t="shared" si="0"/>
        <v>2028</v>
      </c>
      <c r="M6" s="19">
        <f t="shared" si="0"/>
        <v>2029</v>
      </c>
      <c r="N6" s="19">
        <f t="shared" si="0"/>
        <v>2030</v>
      </c>
      <c r="O6" s="19">
        <f t="shared" si="0"/>
        <v>2031</v>
      </c>
      <c r="P6" s="19">
        <f t="shared" si="0"/>
        <v>2032</v>
      </c>
      <c r="Q6" s="19">
        <f t="shared" si="0"/>
        <v>2033</v>
      </c>
      <c r="R6" s="19">
        <f t="shared" si="0"/>
        <v>2034</v>
      </c>
      <c r="S6" s="19">
        <f t="shared" si="0"/>
        <v>2035</v>
      </c>
      <c r="T6" s="19">
        <f t="shared" si="0"/>
        <v>2036</v>
      </c>
      <c r="U6" s="19">
        <f t="shared" si="0"/>
        <v>2037</v>
      </c>
      <c r="V6" s="20" t="s">
        <v>11</v>
      </c>
      <c r="W6" s="21" t="s">
        <v>12</v>
      </c>
    </row>
    <row r="7" spans="1:23" s="26" customFormat="1" ht="12.75" customHeight="1">
      <c r="A7" s="338">
        <v>1</v>
      </c>
      <c r="B7" s="217" t="s">
        <v>13</v>
      </c>
      <c r="C7" s="340" t="s">
        <v>14</v>
      </c>
      <c r="D7" s="340">
        <v>648</v>
      </c>
      <c r="E7" s="342">
        <v>45201391.5</v>
      </c>
      <c r="F7" s="344" t="s">
        <v>15</v>
      </c>
      <c r="G7" s="218" t="s">
        <v>16</v>
      </c>
      <c r="H7" s="219">
        <v>101128</v>
      </c>
      <c r="I7" s="219">
        <v>2123304</v>
      </c>
      <c r="J7" s="219">
        <v>1928404</v>
      </c>
      <c r="K7" s="219">
        <v>1852968</v>
      </c>
      <c r="L7" s="219">
        <v>1852968</v>
      </c>
      <c r="M7" s="219">
        <v>1852968</v>
      </c>
      <c r="N7" s="219">
        <v>1852968</v>
      </c>
      <c r="O7" s="219">
        <v>1852968</v>
      </c>
      <c r="P7" s="219">
        <v>1852968</v>
      </c>
      <c r="Q7" s="219">
        <v>1846728</v>
      </c>
      <c r="R7" s="219">
        <v>998868</v>
      </c>
      <c r="S7" s="219"/>
      <c r="T7" s="219"/>
      <c r="U7" s="219"/>
      <c r="V7" s="220"/>
      <c r="W7" s="221">
        <f aca="true" t="shared" si="1" ref="W7:W70">SUM(H7:V7)</f>
        <v>18116240</v>
      </c>
    </row>
    <row r="8" spans="1:23" s="26" customFormat="1" ht="12.75">
      <c r="A8" s="339"/>
      <c r="B8" s="222" t="s">
        <v>17</v>
      </c>
      <c r="C8" s="341"/>
      <c r="D8" s="341"/>
      <c r="E8" s="343"/>
      <c r="F8" s="345"/>
      <c r="G8" s="223">
        <v>0.04296</v>
      </c>
      <c r="H8" s="224">
        <v>865110</v>
      </c>
      <c r="I8" s="224">
        <v>890995</v>
      </c>
      <c r="J8" s="224">
        <v>752695</v>
      </c>
      <c r="K8" s="224">
        <v>590655</v>
      </c>
      <c r="L8" s="224">
        <v>480915</v>
      </c>
      <c r="M8" s="224">
        <v>404420</v>
      </c>
      <c r="N8" s="224">
        <v>329270</v>
      </c>
      <c r="O8" s="224">
        <v>255120</v>
      </c>
      <c r="P8" s="224">
        <v>179495</v>
      </c>
      <c r="Q8" s="224">
        <v>103880</v>
      </c>
      <c r="R8" s="224">
        <v>36175</v>
      </c>
      <c r="S8" s="224">
        <v>2250</v>
      </c>
      <c r="T8" s="224"/>
      <c r="U8" s="224"/>
      <c r="V8" s="225"/>
      <c r="W8" s="226">
        <f t="shared" si="1"/>
        <v>4890980</v>
      </c>
    </row>
    <row r="9" spans="1:23" s="26" customFormat="1" ht="12.75" customHeight="1">
      <c r="A9" s="246">
        <v>2</v>
      </c>
      <c r="B9" s="22" t="s">
        <v>13</v>
      </c>
      <c r="C9" s="261" t="s">
        <v>18</v>
      </c>
      <c r="D9" s="261">
        <v>628</v>
      </c>
      <c r="E9" s="308">
        <v>119421</v>
      </c>
      <c r="F9" s="330" t="s">
        <v>19</v>
      </c>
      <c r="G9" s="214" t="s">
        <v>16</v>
      </c>
      <c r="H9" s="31">
        <v>6728</v>
      </c>
      <c r="I9" s="31">
        <v>6728</v>
      </c>
      <c r="J9" s="31">
        <v>6728</v>
      </c>
      <c r="K9" s="31">
        <v>6728</v>
      </c>
      <c r="L9" s="31">
        <v>6728</v>
      </c>
      <c r="M9" s="31">
        <v>6728</v>
      </c>
      <c r="N9" s="31">
        <v>6728</v>
      </c>
      <c r="O9" s="31">
        <v>6728</v>
      </c>
      <c r="P9" s="31">
        <v>6728</v>
      </c>
      <c r="Q9" s="31">
        <v>6728</v>
      </c>
      <c r="R9" s="31">
        <v>6728</v>
      </c>
      <c r="S9" s="31">
        <v>1682</v>
      </c>
      <c r="T9" s="31"/>
      <c r="U9" s="31"/>
      <c r="V9" s="32"/>
      <c r="W9" s="25">
        <f t="shared" si="1"/>
        <v>75690</v>
      </c>
    </row>
    <row r="10" spans="1:23" s="26" customFormat="1" ht="12.75">
      <c r="A10" s="247"/>
      <c r="B10" s="33" t="s">
        <v>20</v>
      </c>
      <c r="C10" s="249"/>
      <c r="D10" s="249"/>
      <c r="E10" s="309"/>
      <c r="F10" s="313"/>
      <c r="G10" s="51">
        <v>0.0355</v>
      </c>
      <c r="H10" s="34">
        <v>3510</v>
      </c>
      <c r="I10" s="34">
        <v>3445</v>
      </c>
      <c r="J10" s="34">
        <v>3105</v>
      </c>
      <c r="K10" s="34">
        <v>2355</v>
      </c>
      <c r="L10" s="34">
        <v>1945</v>
      </c>
      <c r="M10" s="34">
        <v>1665</v>
      </c>
      <c r="N10" s="34">
        <v>1395</v>
      </c>
      <c r="O10" s="34">
        <v>1120</v>
      </c>
      <c r="P10" s="34">
        <v>850</v>
      </c>
      <c r="Q10" s="34">
        <v>575</v>
      </c>
      <c r="R10" s="34">
        <v>300</v>
      </c>
      <c r="S10" s="34">
        <v>50</v>
      </c>
      <c r="T10" s="34"/>
      <c r="U10" s="34"/>
      <c r="V10" s="35"/>
      <c r="W10" s="30">
        <f t="shared" si="1"/>
        <v>20315</v>
      </c>
    </row>
    <row r="11" spans="1:23" s="26" customFormat="1" ht="12.75" customHeight="1">
      <c r="A11" s="246">
        <v>3</v>
      </c>
      <c r="B11" s="22" t="s">
        <v>13</v>
      </c>
      <c r="C11" s="261" t="s">
        <v>21</v>
      </c>
      <c r="D11" s="261">
        <v>629</v>
      </c>
      <c r="E11" s="308">
        <v>463710</v>
      </c>
      <c r="F11" s="325" t="s">
        <v>22</v>
      </c>
      <c r="G11" s="214" t="s">
        <v>16</v>
      </c>
      <c r="H11" s="36">
        <v>25412</v>
      </c>
      <c r="I11" s="36">
        <v>25412</v>
      </c>
      <c r="J11" s="36">
        <v>25412</v>
      </c>
      <c r="K11" s="36">
        <v>25412</v>
      </c>
      <c r="L11" s="36">
        <v>25412</v>
      </c>
      <c r="M11" s="36">
        <v>25412</v>
      </c>
      <c r="N11" s="36">
        <v>25412</v>
      </c>
      <c r="O11" s="36">
        <v>25412</v>
      </c>
      <c r="P11" s="36">
        <v>25412</v>
      </c>
      <c r="Q11" s="36">
        <v>25412</v>
      </c>
      <c r="R11" s="36">
        <v>25412</v>
      </c>
      <c r="S11" s="36">
        <v>6353</v>
      </c>
      <c r="T11" s="36"/>
      <c r="U11" s="36"/>
      <c r="V11" s="37"/>
      <c r="W11" s="25">
        <f t="shared" si="1"/>
        <v>285885</v>
      </c>
    </row>
    <row r="12" spans="1:23" s="26" customFormat="1" ht="12.75">
      <c r="A12" s="247"/>
      <c r="B12" s="33" t="s">
        <v>23</v>
      </c>
      <c r="C12" s="249"/>
      <c r="D12" s="249"/>
      <c r="E12" s="309"/>
      <c r="F12" s="326"/>
      <c r="G12" s="51">
        <v>0.0355</v>
      </c>
      <c r="H12" s="34">
        <v>13255</v>
      </c>
      <c r="I12" s="34">
        <v>13010</v>
      </c>
      <c r="J12" s="34">
        <v>11720</v>
      </c>
      <c r="K12" s="34">
        <v>8895</v>
      </c>
      <c r="L12" s="34">
        <v>7335</v>
      </c>
      <c r="M12" s="34">
        <v>6285</v>
      </c>
      <c r="N12" s="34">
        <v>5255</v>
      </c>
      <c r="O12" s="34">
        <v>4225</v>
      </c>
      <c r="P12" s="34">
        <v>3200</v>
      </c>
      <c r="Q12" s="34">
        <v>2160</v>
      </c>
      <c r="R12" s="34">
        <v>1130</v>
      </c>
      <c r="S12" s="34">
        <v>170</v>
      </c>
      <c r="T12" s="34"/>
      <c r="U12" s="34"/>
      <c r="V12" s="35"/>
      <c r="W12" s="30">
        <f t="shared" si="1"/>
        <v>76640</v>
      </c>
    </row>
    <row r="13" spans="1:23" s="40" customFormat="1" ht="12.75" customHeight="1">
      <c r="A13" s="246">
        <v>4</v>
      </c>
      <c r="B13" s="22" t="s">
        <v>13</v>
      </c>
      <c r="C13" s="261" t="s">
        <v>24</v>
      </c>
      <c r="D13" s="261">
        <v>630</v>
      </c>
      <c r="E13" s="308">
        <v>162998</v>
      </c>
      <c r="F13" s="328" t="s">
        <v>25</v>
      </c>
      <c r="G13" s="214" t="s">
        <v>16</v>
      </c>
      <c r="H13" s="38">
        <v>6976</v>
      </c>
      <c r="I13" s="38">
        <v>6976</v>
      </c>
      <c r="J13" s="38">
        <v>6976</v>
      </c>
      <c r="K13" s="38">
        <v>6976</v>
      </c>
      <c r="L13" s="38">
        <v>6976</v>
      </c>
      <c r="M13" s="38">
        <v>6976</v>
      </c>
      <c r="N13" s="38">
        <v>6976</v>
      </c>
      <c r="O13" s="38">
        <v>6976</v>
      </c>
      <c r="P13" s="38">
        <v>6976</v>
      </c>
      <c r="Q13" s="38">
        <v>6976</v>
      </c>
      <c r="R13" s="38">
        <v>6976</v>
      </c>
      <c r="S13" s="38">
        <v>3488</v>
      </c>
      <c r="T13" s="38"/>
      <c r="U13" s="38"/>
      <c r="V13" s="39"/>
      <c r="W13" s="25">
        <f t="shared" si="1"/>
        <v>80224</v>
      </c>
    </row>
    <row r="14" spans="1:23" s="26" customFormat="1" ht="12.75">
      <c r="A14" s="247"/>
      <c r="B14" s="33" t="s">
        <v>26</v>
      </c>
      <c r="C14" s="249"/>
      <c r="D14" s="249"/>
      <c r="E14" s="309"/>
      <c r="F14" s="329"/>
      <c r="G14" s="51">
        <v>0.04057</v>
      </c>
      <c r="H14" s="41">
        <v>3640</v>
      </c>
      <c r="I14" s="41">
        <v>3660</v>
      </c>
      <c r="J14" s="41">
        <v>3310</v>
      </c>
      <c r="K14" s="41">
        <v>2665</v>
      </c>
      <c r="L14" s="41">
        <v>2085</v>
      </c>
      <c r="M14" s="41">
        <v>1800</v>
      </c>
      <c r="N14" s="41">
        <v>1515</v>
      </c>
      <c r="O14" s="41">
        <v>1230</v>
      </c>
      <c r="P14" s="41">
        <v>950</v>
      </c>
      <c r="Q14" s="41">
        <v>665</v>
      </c>
      <c r="R14" s="41">
        <v>385</v>
      </c>
      <c r="S14" s="41">
        <v>100</v>
      </c>
      <c r="T14" s="41"/>
      <c r="U14" s="41"/>
      <c r="V14" s="42"/>
      <c r="W14" s="30">
        <f t="shared" si="1"/>
        <v>22005</v>
      </c>
    </row>
    <row r="15" spans="1:23" s="26" customFormat="1" ht="12.75" customHeight="1">
      <c r="A15" s="246">
        <v>5</v>
      </c>
      <c r="B15" s="22" t="s">
        <v>27</v>
      </c>
      <c r="C15" s="261" t="s">
        <v>28</v>
      </c>
      <c r="D15" s="261">
        <v>631</v>
      </c>
      <c r="E15" s="308">
        <f>89504-0.24</f>
        <v>89503.76</v>
      </c>
      <c r="F15" s="325" t="s">
        <v>29</v>
      </c>
      <c r="G15" s="214" t="s">
        <v>16</v>
      </c>
      <c r="H15" s="43">
        <v>5116</v>
      </c>
      <c r="I15" s="43">
        <v>5116</v>
      </c>
      <c r="J15" s="43">
        <v>5116</v>
      </c>
      <c r="K15" s="43">
        <v>5116</v>
      </c>
      <c r="L15" s="43">
        <v>5116</v>
      </c>
      <c r="M15" s="43">
        <v>5116</v>
      </c>
      <c r="N15" s="43">
        <v>5116</v>
      </c>
      <c r="O15" s="43">
        <v>5116</v>
      </c>
      <c r="P15" s="43">
        <v>5116</v>
      </c>
      <c r="Q15" s="43">
        <f>5116</f>
        <v>5116</v>
      </c>
      <c r="R15" s="43">
        <v>5116</v>
      </c>
      <c r="S15" s="43">
        <v>2557.76</v>
      </c>
      <c r="T15" s="43"/>
      <c r="U15" s="43"/>
      <c r="V15" s="44"/>
      <c r="W15" s="25">
        <f t="shared" si="1"/>
        <v>58833.76</v>
      </c>
    </row>
    <row r="16" spans="1:23" s="26" customFormat="1" ht="12.75">
      <c r="A16" s="247"/>
      <c r="B16" s="33" t="s">
        <v>30</v>
      </c>
      <c r="C16" s="249"/>
      <c r="D16" s="249"/>
      <c r="E16" s="309"/>
      <c r="F16" s="326"/>
      <c r="G16" s="51">
        <v>0.04194</v>
      </c>
      <c r="H16" s="41">
        <v>2710</v>
      </c>
      <c r="I16" s="41">
        <v>2685</v>
      </c>
      <c r="J16" s="41">
        <v>2425</v>
      </c>
      <c r="K16" s="41">
        <v>1955</v>
      </c>
      <c r="L16" s="41">
        <v>1530</v>
      </c>
      <c r="M16" s="41">
        <v>1320</v>
      </c>
      <c r="N16" s="41">
        <v>1110</v>
      </c>
      <c r="O16" s="41">
        <v>905</v>
      </c>
      <c r="P16" s="41">
        <v>700</v>
      </c>
      <c r="Q16" s="41">
        <v>490</v>
      </c>
      <c r="R16" s="41">
        <v>280</v>
      </c>
      <c r="S16" s="41">
        <v>75</v>
      </c>
      <c r="T16" s="41"/>
      <c r="U16" s="41"/>
      <c r="V16" s="42"/>
      <c r="W16" s="30">
        <f t="shared" si="1"/>
        <v>16185</v>
      </c>
    </row>
    <row r="17" spans="1:23" s="26" customFormat="1" ht="12.75" customHeight="1">
      <c r="A17" s="246">
        <v>6</v>
      </c>
      <c r="B17" s="22" t="s">
        <v>13</v>
      </c>
      <c r="C17" s="261" t="s">
        <v>31</v>
      </c>
      <c r="D17" s="261">
        <v>632</v>
      </c>
      <c r="E17" s="308">
        <v>1331708.19</v>
      </c>
      <c r="F17" s="312" t="s">
        <v>32</v>
      </c>
      <c r="G17" s="214" t="s">
        <v>16</v>
      </c>
      <c r="H17" s="31">
        <v>20000</v>
      </c>
      <c r="I17" s="31">
        <v>20000</v>
      </c>
      <c r="J17" s="31">
        <v>50000</v>
      </c>
      <c r="K17" s="31">
        <v>79000</v>
      </c>
      <c r="L17" s="31">
        <v>79000</v>
      </c>
      <c r="M17" s="31">
        <v>79000</v>
      </c>
      <c r="N17" s="31">
        <v>79000</v>
      </c>
      <c r="O17" s="31">
        <v>79000</v>
      </c>
      <c r="P17" s="36">
        <v>79000</v>
      </c>
      <c r="Q17" s="36">
        <f>79000</f>
        <v>79000</v>
      </c>
      <c r="R17" s="36">
        <v>79000</v>
      </c>
      <c r="S17" s="36">
        <v>59250</v>
      </c>
      <c r="T17" s="36"/>
      <c r="U17" s="36"/>
      <c r="V17" s="37"/>
      <c r="W17" s="25">
        <f t="shared" si="1"/>
        <v>781250</v>
      </c>
    </row>
    <row r="18" spans="1:23" s="26" customFormat="1" ht="12.75">
      <c r="A18" s="247"/>
      <c r="B18" s="33" t="s">
        <v>33</v>
      </c>
      <c r="C18" s="249"/>
      <c r="D18" s="249"/>
      <c r="E18" s="309"/>
      <c r="F18" s="314"/>
      <c r="G18" s="51">
        <v>0.02875</v>
      </c>
      <c r="H18" s="34">
        <v>36290</v>
      </c>
      <c r="I18" s="34">
        <v>38435</v>
      </c>
      <c r="J18" s="34">
        <v>35280</v>
      </c>
      <c r="K18" s="34">
        <v>27480</v>
      </c>
      <c r="L18" s="34">
        <v>24405</v>
      </c>
      <c r="M18" s="34">
        <v>21135</v>
      </c>
      <c r="N18" s="34">
        <v>17930</v>
      </c>
      <c r="O18" s="34">
        <v>14725</v>
      </c>
      <c r="P18" s="34">
        <v>11555</v>
      </c>
      <c r="Q18" s="34">
        <v>8320</v>
      </c>
      <c r="R18" s="34">
        <v>5115</v>
      </c>
      <c r="S18" s="34">
        <v>1910</v>
      </c>
      <c r="T18" s="34"/>
      <c r="U18" s="34"/>
      <c r="V18" s="35"/>
      <c r="W18" s="30">
        <f t="shared" si="1"/>
        <v>242580</v>
      </c>
    </row>
    <row r="19" spans="1:23" s="26" customFormat="1" ht="12.75" customHeight="1">
      <c r="A19" s="246">
        <v>7</v>
      </c>
      <c r="B19" s="22" t="s">
        <v>13</v>
      </c>
      <c r="C19" s="327" t="s">
        <v>34</v>
      </c>
      <c r="D19" s="261">
        <v>633</v>
      </c>
      <c r="E19" s="317">
        <f>8339124-3412924+1558975</f>
        <v>6485175</v>
      </c>
      <c r="F19" s="312" t="s">
        <v>35</v>
      </c>
      <c r="G19" s="214" t="s">
        <v>16</v>
      </c>
      <c r="H19" s="45">
        <v>8000</v>
      </c>
      <c r="I19" s="45">
        <v>20000</v>
      </c>
      <c r="J19" s="45">
        <v>60000</v>
      </c>
      <c r="K19" s="45">
        <v>238000</v>
      </c>
      <c r="L19" s="45">
        <v>238000</v>
      </c>
      <c r="M19" s="45">
        <v>304544</v>
      </c>
      <c r="N19" s="45">
        <v>304544</v>
      </c>
      <c r="O19" s="45">
        <v>304544</v>
      </c>
      <c r="P19" s="45">
        <v>304544</v>
      </c>
      <c r="Q19" s="45">
        <v>304544</v>
      </c>
      <c r="R19" s="45">
        <v>304544</v>
      </c>
      <c r="S19" s="45">
        <v>304544</v>
      </c>
      <c r="T19" s="45">
        <v>304544</v>
      </c>
      <c r="U19" s="46">
        <v>304544</v>
      </c>
      <c r="V19" s="47">
        <v>2805974.29</v>
      </c>
      <c r="W19" s="25">
        <f t="shared" si="1"/>
        <v>6110870.29</v>
      </c>
    </row>
    <row r="20" spans="1:23" s="26" customFormat="1" ht="12.75">
      <c r="A20" s="247"/>
      <c r="B20" s="33" t="s">
        <v>36</v>
      </c>
      <c r="C20" s="307"/>
      <c r="D20" s="249"/>
      <c r="E20" s="318"/>
      <c r="F20" s="314"/>
      <c r="G20" s="51">
        <v>0.04189</v>
      </c>
      <c r="H20" s="48">
        <v>285375</v>
      </c>
      <c r="I20" s="48">
        <v>309195</v>
      </c>
      <c r="J20" s="48">
        <v>307790</v>
      </c>
      <c r="K20" s="48">
        <v>272840</v>
      </c>
      <c r="L20" s="48">
        <v>233765</v>
      </c>
      <c r="M20" s="48">
        <v>222905</v>
      </c>
      <c r="N20" s="48">
        <v>210705</v>
      </c>
      <c r="O20" s="48">
        <v>198355</v>
      </c>
      <c r="P20" s="48">
        <v>186515</v>
      </c>
      <c r="Q20" s="48">
        <v>173650</v>
      </c>
      <c r="R20" s="48">
        <v>161300</v>
      </c>
      <c r="S20" s="48">
        <v>148950</v>
      </c>
      <c r="T20" s="48">
        <v>136980</v>
      </c>
      <c r="U20" s="48">
        <v>124245</v>
      </c>
      <c r="V20" s="49">
        <v>564690</v>
      </c>
      <c r="W20" s="30">
        <f t="shared" si="1"/>
        <v>3537260</v>
      </c>
    </row>
    <row r="21" spans="1:23" s="26" customFormat="1" ht="12.75" customHeight="1">
      <c r="A21" s="246">
        <v>8</v>
      </c>
      <c r="B21" s="22" t="s">
        <v>13</v>
      </c>
      <c r="C21" s="327" t="s">
        <v>37</v>
      </c>
      <c r="D21" s="261">
        <v>634</v>
      </c>
      <c r="E21" s="308">
        <f>206622-0.62</f>
        <v>206621.38</v>
      </c>
      <c r="F21" s="312" t="s">
        <v>38</v>
      </c>
      <c r="G21" s="214" t="s">
        <v>16</v>
      </c>
      <c r="H21" s="45">
        <v>13640</v>
      </c>
      <c r="I21" s="45">
        <v>13640</v>
      </c>
      <c r="J21" s="45">
        <v>13640</v>
      </c>
      <c r="K21" s="45">
        <v>13640</v>
      </c>
      <c r="L21" s="45">
        <v>13640</v>
      </c>
      <c r="M21" s="45">
        <v>13640</v>
      </c>
      <c r="N21" s="45">
        <v>13640</v>
      </c>
      <c r="O21" s="45">
        <v>13640</v>
      </c>
      <c r="P21" s="45">
        <v>13640</v>
      </c>
      <c r="Q21" s="45">
        <v>13640</v>
      </c>
      <c r="R21" s="45">
        <v>13640</v>
      </c>
      <c r="S21" s="45">
        <v>13640</v>
      </c>
      <c r="T21" s="46">
        <v>13661.38</v>
      </c>
      <c r="U21" s="46"/>
      <c r="V21" s="47"/>
      <c r="W21" s="25">
        <f t="shared" si="1"/>
        <v>177341.38</v>
      </c>
    </row>
    <row r="22" spans="1:23" s="26" customFormat="1" ht="12.75">
      <c r="A22" s="247"/>
      <c r="B22" s="33" t="s">
        <v>39</v>
      </c>
      <c r="C22" s="307"/>
      <c r="D22" s="249"/>
      <c r="E22" s="309"/>
      <c r="F22" s="314"/>
      <c r="G22" s="51">
        <v>0.04189</v>
      </c>
      <c r="H22" s="48">
        <v>8175</v>
      </c>
      <c r="I22" s="48">
        <v>8195</v>
      </c>
      <c r="J22" s="48">
        <v>7505</v>
      </c>
      <c r="K22" s="48">
        <v>6145</v>
      </c>
      <c r="L22" s="48">
        <v>4910</v>
      </c>
      <c r="M22" s="48">
        <v>4345</v>
      </c>
      <c r="N22" s="48">
        <v>3790</v>
      </c>
      <c r="O22" s="48">
        <v>3235</v>
      </c>
      <c r="P22" s="48">
        <v>2690</v>
      </c>
      <c r="Q22" s="48">
        <v>2130</v>
      </c>
      <c r="R22" s="48">
        <v>1575</v>
      </c>
      <c r="S22" s="48">
        <v>1025</v>
      </c>
      <c r="T22" s="48">
        <v>475</v>
      </c>
      <c r="U22" s="48">
        <v>35</v>
      </c>
      <c r="V22" s="49"/>
      <c r="W22" s="30">
        <f t="shared" si="1"/>
        <v>54230</v>
      </c>
    </row>
    <row r="23" spans="1:23" s="26" customFormat="1" ht="12.75" customHeight="1">
      <c r="A23" s="246">
        <v>9</v>
      </c>
      <c r="B23" s="22" t="s">
        <v>13</v>
      </c>
      <c r="C23" s="306" t="s">
        <v>40</v>
      </c>
      <c r="D23" s="261">
        <v>635</v>
      </c>
      <c r="E23" s="308">
        <v>307624.96</v>
      </c>
      <c r="F23" s="325" t="s">
        <v>41</v>
      </c>
      <c r="G23" s="214" t="s">
        <v>16</v>
      </c>
      <c r="H23" s="31">
        <v>10000</v>
      </c>
      <c r="I23" s="31">
        <v>23824</v>
      </c>
      <c r="J23" s="31">
        <v>23824</v>
      </c>
      <c r="K23" s="31">
        <v>23824</v>
      </c>
      <c r="L23" s="31">
        <v>23824</v>
      </c>
      <c r="M23" s="31">
        <v>23824</v>
      </c>
      <c r="N23" s="31">
        <v>23824</v>
      </c>
      <c r="O23" s="31">
        <v>23824</v>
      </c>
      <c r="P23" s="36">
        <v>23824</v>
      </c>
      <c r="Q23" s="36">
        <f>23824</f>
        <v>23824</v>
      </c>
      <c r="R23" s="36">
        <v>23824</v>
      </c>
      <c r="S23" s="36">
        <v>23824</v>
      </c>
      <c r="T23" s="36">
        <v>23810.96</v>
      </c>
      <c r="U23" s="36"/>
      <c r="V23" s="37"/>
      <c r="W23" s="25">
        <f t="shared" si="1"/>
        <v>295874.96</v>
      </c>
    </row>
    <row r="24" spans="1:23" s="26" customFormat="1" ht="12.75">
      <c r="A24" s="247"/>
      <c r="B24" s="33" t="s">
        <v>42</v>
      </c>
      <c r="C24" s="307"/>
      <c r="D24" s="249"/>
      <c r="E24" s="309"/>
      <c r="F24" s="326"/>
      <c r="G24" s="51">
        <v>0.04369</v>
      </c>
      <c r="H24" s="34">
        <v>14000</v>
      </c>
      <c r="I24" s="34">
        <v>14270</v>
      </c>
      <c r="J24" s="34">
        <v>13100</v>
      </c>
      <c r="K24" s="34">
        <v>10730</v>
      </c>
      <c r="L24" s="34">
        <v>8575</v>
      </c>
      <c r="M24" s="34">
        <v>7585</v>
      </c>
      <c r="N24" s="34">
        <v>6615</v>
      </c>
      <c r="O24" s="34">
        <v>5650</v>
      </c>
      <c r="P24" s="34">
        <v>4695</v>
      </c>
      <c r="Q24" s="34">
        <v>3720</v>
      </c>
      <c r="R24" s="34">
        <v>2750</v>
      </c>
      <c r="S24" s="34">
        <v>1785</v>
      </c>
      <c r="T24" s="34">
        <v>820</v>
      </c>
      <c r="U24" s="34">
        <v>55</v>
      </c>
      <c r="V24" s="35"/>
      <c r="W24" s="30">
        <f t="shared" si="1"/>
        <v>94350</v>
      </c>
    </row>
    <row r="25" spans="1:23" s="26" customFormat="1" ht="12.75" customHeight="1">
      <c r="A25" s="246">
        <v>10</v>
      </c>
      <c r="B25" s="22" t="s">
        <v>13</v>
      </c>
      <c r="C25" s="306" t="s">
        <v>43</v>
      </c>
      <c r="D25" s="261">
        <v>636</v>
      </c>
      <c r="E25" s="308">
        <v>69989</v>
      </c>
      <c r="F25" s="325" t="s">
        <v>41</v>
      </c>
      <c r="G25" s="214" t="s">
        <v>16</v>
      </c>
      <c r="H25" s="31">
        <v>2000</v>
      </c>
      <c r="I25" s="31">
        <v>5000</v>
      </c>
      <c r="J25" s="31">
        <v>5272</v>
      </c>
      <c r="K25" s="31">
        <v>5272</v>
      </c>
      <c r="L25" s="31">
        <v>5272</v>
      </c>
      <c r="M25" s="31">
        <v>5272</v>
      </c>
      <c r="N25" s="31">
        <v>5272</v>
      </c>
      <c r="O25" s="31">
        <v>5272</v>
      </c>
      <c r="P25" s="31">
        <v>5272</v>
      </c>
      <c r="Q25" s="31">
        <v>5272</v>
      </c>
      <c r="R25" s="31">
        <v>5272</v>
      </c>
      <c r="S25" s="31">
        <v>5272</v>
      </c>
      <c r="T25" s="31">
        <v>5269</v>
      </c>
      <c r="U25" s="31"/>
      <c r="V25" s="32"/>
      <c r="W25" s="25">
        <f t="shared" si="1"/>
        <v>64989</v>
      </c>
    </row>
    <row r="26" spans="1:23" s="26" customFormat="1" ht="12.75">
      <c r="A26" s="247"/>
      <c r="B26" s="33" t="s">
        <v>44</v>
      </c>
      <c r="C26" s="307"/>
      <c r="D26" s="249"/>
      <c r="E26" s="309"/>
      <c r="F26" s="326"/>
      <c r="G26" s="51">
        <v>0.04369</v>
      </c>
      <c r="H26" s="34">
        <f>2305+775</f>
        <v>3080</v>
      </c>
      <c r="I26" s="34">
        <v>3150</v>
      </c>
      <c r="J26" s="34">
        <v>2900</v>
      </c>
      <c r="K26" s="34">
        <v>2375</v>
      </c>
      <c r="L26" s="34">
        <v>1900</v>
      </c>
      <c r="M26" s="34">
        <v>1680</v>
      </c>
      <c r="N26" s="34">
        <v>1465</v>
      </c>
      <c r="O26" s="34">
        <v>1250</v>
      </c>
      <c r="P26" s="34">
        <v>1040</v>
      </c>
      <c r="Q26" s="34">
        <v>825</v>
      </c>
      <c r="R26" s="34">
        <v>610</v>
      </c>
      <c r="S26" s="34">
        <v>395</v>
      </c>
      <c r="T26" s="34">
        <v>185</v>
      </c>
      <c r="U26" s="34">
        <v>15</v>
      </c>
      <c r="V26" s="35"/>
      <c r="W26" s="30">
        <f t="shared" si="1"/>
        <v>20870</v>
      </c>
    </row>
    <row r="27" spans="1:23" s="26" customFormat="1" ht="12.75" customHeight="1">
      <c r="A27" s="246">
        <v>11</v>
      </c>
      <c r="B27" s="22" t="s">
        <v>13</v>
      </c>
      <c r="C27" s="306" t="s">
        <v>45</v>
      </c>
      <c r="D27" s="306">
        <v>637</v>
      </c>
      <c r="E27" s="308">
        <v>212555.77</v>
      </c>
      <c r="F27" s="325" t="s">
        <v>46</v>
      </c>
      <c r="G27" s="50" t="s">
        <v>16</v>
      </c>
      <c r="H27" s="45">
        <v>2000</v>
      </c>
      <c r="I27" s="45">
        <v>2000</v>
      </c>
      <c r="J27" s="45">
        <v>5000</v>
      </c>
      <c r="K27" s="45">
        <v>19920</v>
      </c>
      <c r="L27" s="45">
        <v>19920</v>
      </c>
      <c r="M27" s="45">
        <v>19920</v>
      </c>
      <c r="N27" s="45">
        <v>19920</v>
      </c>
      <c r="O27" s="45">
        <v>19920</v>
      </c>
      <c r="P27" s="46">
        <v>19920</v>
      </c>
      <c r="Q27" s="46">
        <v>19920</v>
      </c>
      <c r="R27" s="46">
        <v>19920</v>
      </c>
      <c r="S27" s="46">
        <v>19920</v>
      </c>
      <c r="T27" s="46">
        <v>19525.77</v>
      </c>
      <c r="U27" s="46"/>
      <c r="V27" s="47"/>
      <c r="W27" s="25">
        <f t="shared" si="1"/>
        <v>207805.77</v>
      </c>
    </row>
    <row r="28" spans="1:23" s="26" customFormat="1" ht="12.75">
      <c r="A28" s="247"/>
      <c r="B28" s="33" t="s">
        <v>47</v>
      </c>
      <c r="C28" s="307"/>
      <c r="D28" s="307"/>
      <c r="E28" s="309"/>
      <c r="F28" s="326"/>
      <c r="G28" s="51">
        <v>0.04364</v>
      </c>
      <c r="H28" s="48">
        <v>9545</v>
      </c>
      <c r="I28" s="48">
        <v>10420</v>
      </c>
      <c r="J28" s="48">
        <v>9775</v>
      </c>
      <c r="K28" s="48">
        <v>7905</v>
      </c>
      <c r="L28" s="48">
        <v>7155</v>
      </c>
      <c r="M28" s="48">
        <v>6325</v>
      </c>
      <c r="N28" s="48">
        <v>5515</v>
      </c>
      <c r="O28" s="48">
        <v>4710</v>
      </c>
      <c r="P28" s="48">
        <v>3910</v>
      </c>
      <c r="Q28" s="48">
        <v>3095</v>
      </c>
      <c r="R28" s="48">
        <v>2285</v>
      </c>
      <c r="S28" s="48">
        <v>1480</v>
      </c>
      <c r="T28" s="48">
        <v>670</v>
      </c>
      <c r="U28" s="48">
        <v>45</v>
      </c>
      <c r="V28" s="49"/>
      <c r="W28" s="30">
        <f t="shared" si="1"/>
        <v>72835</v>
      </c>
    </row>
    <row r="29" spans="1:23" s="26" customFormat="1" ht="18" customHeight="1">
      <c r="A29" s="246">
        <v>12</v>
      </c>
      <c r="B29" s="22" t="s">
        <v>13</v>
      </c>
      <c r="C29" s="306" t="s">
        <v>48</v>
      </c>
      <c r="D29" s="306">
        <v>638</v>
      </c>
      <c r="E29" s="308">
        <v>1496459</v>
      </c>
      <c r="F29" s="312" t="s">
        <v>49</v>
      </c>
      <c r="G29" s="50" t="s">
        <v>16</v>
      </c>
      <c r="H29" s="45">
        <v>5000</v>
      </c>
      <c r="I29" s="45">
        <v>10000</v>
      </c>
      <c r="J29" s="45">
        <v>20000</v>
      </c>
      <c r="K29" s="45">
        <v>50000</v>
      </c>
      <c r="L29" s="45">
        <v>50000</v>
      </c>
      <c r="M29" s="45">
        <v>50000</v>
      </c>
      <c r="N29" s="45">
        <v>69458</v>
      </c>
      <c r="O29" s="45">
        <v>75944</v>
      </c>
      <c r="P29" s="46">
        <v>75944</v>
      </c>
      <c r="Q29" s="46">
        <f>75944</f>
        <v>75944</v>
      </c>
      <c r="R29" s="46">
        <v>75944</v>
      </c>
      <c r="S29" s="46">
        <v>75944</v>
      </c>
      <c r="T29" s="46">
        <v>75944</v>
      </c>
      <c r="U29" s="46">
        <v>75944</v>
      </c>
      <c r="V29" s="47">
        <v>700643</v>
      </c>
      <c r="W29" s="25">
        <f t="shared" si="1"/>
        <v>1486709</v>
      </c>
    </row>
    <row r="30" spans="1:23" s="26" customFormat="1" ht="14.25" customHeight="1">
      <c r="A30" s="247"/>
      <c r="B30" s="33" t="s">
        <v>50</v>
      </c>
      <c r="C30" s="307"/>
      <c r="D30" s="307"/>
      <c r="E30" s="309"/>
      <c r="F30" s="314"/>
      <c r="G30" s="51">
        <v>0.04369</v>
      </c>
      <c r="H30" s="48">
        <v>68400</v>
      </c>
      <c r="I30" s="48">
        <v>75025</v>
      </c>
      <c r="J30" s="48">
        <v>70690</v>
      </c>
      <c r="K30" s="48">
        <v>58495</v>
      </c>
      <c r="L30" s="48">
        <v>56695</v>
      </c>
      <c r="M30" s="48">
        <v>54510</v>
      </c>
      <c r="N30" s="48">
        <v>52400</v>
      </c>
      <c r="O30" s="48">
        <v>49500</v>
      </c>
      <c r="P30" s="48">
        <v>46550</v>
      </c>
      <c r="Q30" s="48">
        <v>43345</v>
      </c>
      <c r="R30" s="48">
        <v>40260</v>
      </c>
      <c r="S30" s="48">
        <v>37185</v>
      </c>
      <c r="T30" s="48">
        <v>34195</v>
      </c>
      <c r="U30" s="48">
        <v>31025</v>
      </c>
      <c r="V30" s="49">
        <v>141170</v>
      </c>
      <c r="W30" s="30">
        <f t="shared" si="1"/>
        <v>859445</v>
      </c>
    </row>
    <row r="31" spans="1:23" s="26" customFormat="1" ht="12.75" customHeight="1">
      <c r="A31" s="246">
        <v>13</v>
      </c>
      <c r="B31" s="22" t="s">
        <v>13</v>
      </c>
      <c r="C31" s="306" t="s">
        <v>51</v>
      </c>
      <c r="D31" s="306">
        <v>639</v>
      </c>
      <c r="E31" s="308">
        <v>520249</v>
      </c>
      <c r="F31" s="312" t="s">
        <v>52</v>
      </c>
      <c r="G31" s="50" t="s">
        <v>16</v>
      </c>
      <c r="H31" s="45">
        <v>5000</v>
      </c>
      <c r="I31" s="45">
        <v>5000</v>
      </c>
      <c r="J31" s="45">
        <v>10000</v>
      </c>
      <c r="K31" s="45">
        <v>45000</v>
      </c>
      <c r="L31" s="45">
        <v>45000</v>
      </c>
      <c r="M31" s="45">
        <v>45000</v>
      </c>
      <c r="N31" s="45">
        <v>45000</v>
      </c>
      <c r="O31" s="45">
        <v>45000</v>
      </c>
      <c r="P31" s="46">
        <v>45000</v>
      </c>
      <c r="Q31" s="46">
        <v>45000</v>
      </c>
      <c r="R31" s="46">
        <v>45000</v>
      </c>
      <c r="S31" s="46">
        <v>45000</v>
      </c>
      <c r="T31" s="46">
        <v>45000</v>
      </c>
      <c r="U31" s="46">
        <v>44949</v>
      </c>
      <c r="V31" s="47"/>
      <c r="W31" s="25">
        <f t="shared" si="1"/>
        <v>514949</v>
      </c>
    </row>
    <row r="32" spans="1:23" s="26" customFormat="1" ht="12.75">
      <c r="A32" s="247"/>
      <c r="B32" s="33" t="s">
        <v>53</v>
      </c>
      <c r="C32" s="307"/>
      <c r="D32" s="307"/>
      <c r="E32" s="309"/>
      <c r="F32" s="314"/>
      <c r="G32" s="51">
        <v>0.04369</v>
      </c>
      <c r="H32" s="48">
        <v>23660</v>
      </c>
      <c r="I32" s="48">
        <v>25815</v>
      </c>
      <c r="J32" s="48">
        <v>24230</v>
      </c>
      <c r="K32" s="48">
        <v>19715</v>
      </c>
      <c r="L32" s="48">
        <v>18020</v>
      </c>
      <c r="M32" s="48">
        <v>16145</v>
      </c>
      <c r="N32" s="48">
        <v>14320</v>
      </c>
      <c r="O32" s="48">
        <v>12495</v>
      </c>
      <c r="P32" s="48">
        <v>10700</v>
      </c>
      <c r="Q32" s="48">
        <v>8845</v>
      </c>
      <c r="R32" s="48">
        <v>7020</v>
      </c>
      <c r="S32" s="48">
        <v>5195</v>
      </c>
      <c r="T32" s="48">
        <v>3380</v>
      </c>
      <c r="U32" s="48">
        <v>1415</v>
      </c>
      <c r="V32" s="49"/>
      <c r="W32" s="30">
        <f t="shared" si="1"/>
        <v>190955</v>
      </c>
    </row>
    <row r="33" spans="1:23" s="26" customFormat="1" ht="17.25" customHeight="1">
      <c r="A33" s="246">
        <v>14</v>
      </c>
      <c r="B33" s="22" t="s">
        <v>13</v>
      </c>
      <c r="C33" s="306" t="s">
        <v>54</v>
      </c>
      <c r="D33" s="306">
        <v>640</v>
      </c>
      <c r="E33" s="308">
        <f>409900-0.21</f>
        <v>409899.79</v>
      </c>
      <c r="F33" s="312" t="s">
        <v>55</v>
      </c>
      <c r="G33" s="50" t="s">
        <v>16</v>
      </c>
      <c r="H33" s="45">
        <v>5000</v>
      </c>
      <c r="I33" s="45">
        <v>5000</v>
      </c>
      <c r="J33" s="45">
        <v>10000</v>
      </c>
      <c r="K33" s="45">
        <v>34964</v>
      </c>
      <c r="L33" s="45">
        <v>34964</v>
      </c>
      <c r="M33" s="45">
        <v>34964</v>
      </c>
      <c r="N33" s="45">
        <v>34964</v>
      </c>
      <c r="O33" s="45">
        <v>34964</v>
      </c>
      <c r="P33" s="46">
        <v>34964</v>
      </c>
      <c r="Q33" s="46">
        <v>34964</v>
      </c>
      <c r="R33" s="46">
        <v>34964</v>
      </c>
      <c r="S33" s="46">
        <v>34964</v>
      </c>
      <c r="T33" s="46">
        <v>34964</v>
      </c>
      <c r="U33" s="46">
        <v>34959.79</v>
      </c>
      <c r="V33" s="46"/>
      <c r="W33" s="25">
        <f t="shared" si="1"/>
        <v>404599.79</v>
      </c>
    </row>
    <row r="34" spans="1:23" s="26" customFormat="1" ht="17.25" customHeight="1">
      <c r="A34" s="247"/>
      <c r="B34" s="33" t="s">
        <v>56</v>
      </c>
      <c r="C34" s="307"/>
      <c r="D34" s="307"/>
      <c r="E34" s="309"/>
      <c r="F34" s="314"/>
      <c r="G34" s="51">
        <v>0.04467</v>
      </c>
      <c r="H34" s="48">
        <v>17950</v>
      </c>
      <c r="I34" s="48">
        <v>20220</v>
      </c>
      <c r="J34" s="48">
        <v>19915</v>
      </c>
      <c r="K34" s="48">
        <v>15325</v>
      </c>
      <c r="L34" s="48">
        <v>14000</v>
      </c>
      <c r="M34" s="48">
        <v>12545</v>
      </c>
      <c r="N34" s="48">
        <v>11130</v>
      </c>
      <c r="O34" s="48">
        <v>9710</v>
      </c>
      <c r="P34" s="48">
        <v>8315</v>
      </c>
      <c r="Q34" s="48">
        <v>6875</v>
      </c>
      <c r="R34" s="48">
        <v>5455</v>
      </c>
      <c r="S34" s="48">
        <v>4040</v>
      </c>
      <c r="T34" s="48">
        <v>2625</v>
      </c>
      <c r="U34" s="48">
        <v>1200</v>
      </c>
      <c r="V34" s="48">
        <v>80</v>
      </c>
      <c r="W34" s="30">
        <f t="shared" si="1"/>
        <v>149385</v>
      </c>
    </row>
    <row r="35" spans="1:23" s="26" customFormat="1" ht="12.75" customHeight="1">
      <c r="A35" s="246">
        <v>15</v>
      </c>
      <c r="B35" s="22" t="s">
        <v>13</v>
      </c>
      <c r="C35" s="261" t="s">
        <v>57</v>
      </c>
      <c r="D35" s="306">
        <v>642</v>
      </c>
      <c r="E35" s="308">
        <f>231313-0.12</f>
        <v>231312.88</v>
      </c>
      <c r="F35" s="312" t="s">
        <v>58</v>
      </c>
      <c r="G35" s="50" t="s">
        <v>16</v>
      </c>
      <c r="H35" s="31">
        <v>14620</v>
      </c>
      <c r="I35" s="31">
        <v>14620</v>
      </c>
      <c r="J35" s="31">
        <v>14620</v>
      </c>
      <c r="K35" s="23">
        <v>14620</v>
      </c>
      <c r="L35" s="31">
        <v>14620</v>
      </c>
      <c r="M35" s="31">
        <v>14620</v>
      </c>
      <c r="N35" s="31">
        <v>14620</v>
      </c>
      <c r="O35" s="31">
        <v>14620</v>
      </c>
      <c r="P35" s="31">
        <v>14620</v>
      </c>
      <c r="Q35" s="31">
        <f>14620</f>
        <v>14620</v>
      </c>
      <c r="R35" s="31">
        <v>14620</v>
      </c>
      <c r="S35" s="31">
        <v>14620</v>
      </c>
      <c r="T35" s="36">
        <v>14620</v>
      </c>
      <c r="U35" s="36">
        <v>14632.88</v>
      </c>
      <c r="V35" s="37"/>
      <c r="W35" s="25">
        <f t="shared" si="1"/>
        <v>204692.88</v>
      </c>
    </row>
    <row r="36" spans="1:23" s="26" customFormat="1" ht="12.75">
      <c r="A36" s="247"/>
      <c r="B36" s="33" t="s">
        <v>59</v>
      </c>
      <c r="C36" s="249"/>
      <c r="D36" s="307"/>
      <c r="E36" s="309"/>
      <c r="F36" s="314"/>
      <c r="G36" s="51">
        <v>0.04076</v>
      </c>
      <c r="H36" s="34">
        <v>9800</v>
      </c>
      <c r="I36" s="34">
        <v>9525</v>
      </c>
      <c r="J36" s="34">
        <v>8785</v>
      </c>
      <c r="K36" s="28">
        <v>6855</v>
      </c>
      <c r="L36" s="34">
        <v>5855</v>
      </c>
      <c r="M36" s="34">
        <v>5250</v>
      </c>
      <c r="N36" s="34">
        <v>4655</v>
      </c>
      <c r="O36" s="34">
        <v>4060</v>
      </c>
      <c r="P36" s="34">
        <v>3480</v>
      </c>
      <c r="Q36" s="34">
        <v>2875</v>
      </c>
      <c r="R36" s="34">
        <v>2285</v>
      </c>
      <c r="S36" s="34">
        <v>1690</v>
      </c>
      <c r="T36" s="34">
        <v>1100</v>
      </c>
      <c r="U36" s="34">
        <v>505</v>
      </c>
      <c r="V36" s="35">
        <v>35</v>
      </c>
      <c r="W36" s="30">
        <f t="shared" si="1"/>
        <v>66755</v>
      </c>
    </row>
    <row r="37" spans="1:23" s="26" customFormat="1" ht="12.75" customHeight="1">
      <c r="A37" s="246">
        <v>16</v>
      </c>
      <c r="B37" s="22" t="s">
        <v>13</v>
      </c>
      <c r="C37" s="306" t="s">
        <v>60</v>
      </c>
      <c r="D37" s="306">
        <v>644</v>
      </c>
      <c r="E37" s="308">
        <f>1188567-257831-28891.82</f>
        <v>901844.18</v>
      </c>
      <c r="F37" s="323" t="s">
        <v>61</v>
      </c>
      <c r="G37" s="50" t="s">
        <v>16</v>
      </c>
      <c r="H37" s="23">
        <v>6000</v>
      </c>
      <c r="I37" s="23">
        <v>10000</v>
      </c>
      <c r="J37" s="23">
        <v>16000</v>
      </c>
      <c r="K37" s="23">
        <v>36800</v>
      </c>
      <c r="L37" s="23">
        <v>36800</v>
      </c>
      <c r="M37" s="23">
        <v>36800</v>
      </c>
      <c r="N37" s="23">
        <v>36800</v>
      </c>
      <c r="O37" s="23">
        <v>36800</v>
      </c>
      <c r="P37" s="23">
        <v>36800</v>
      </c>
      <c r="Q37" s="23">
        <v>36800</v>
      </c>
      <c r="R37" s="23">
        <v>36800</v>
      </c>
      <c r="S37" s="23">
        <v>36800</v>
      </c>
      <c r="T37" s="23">
        <v>36800</v>
      </c>
      <c r="U37" s="23">
        <v>36800</v>
      </c>
      <c r="V37" s="24">
        <v>377002</v>
      </c>
      <c r="W37" s="25">
        <f t="shared" si="1"/>
        <v>813802</v>
      </c>
    </row>
    <row r="38" spans="1:23" s="26" customFormat="1" ht="15" customHeight="1">
      <c r="A38" s="247"/>
      <c r="B38" s="27" t="s">
        <v>62</v>
      </c>
      <c r="C38" s="307"/>
      <c r="D38" s="307"/>
      <c r="E38" s="309"/>
      <c r="F38" s="324"/>
      <c r="G38" s="51">
        <v>0.04154</v>
      </c>
      <c r="H38" s="28">
        <v>37810</v>
      </c>
      <c r="I38" s="28">
        <v>40865</v>
      </c>
      <c r="J38" s="28">
        <v>40305</v>
      </c>
      <c r="K38" s="28">
        <v>35390</v>
      </c>
      <c r="L38" s="28">
        <v>30070</v>
      </c>
      <c r="M38" s="28">
        <v>28495</v>
      </c>
      <c r="N38" s="28">
        <v>27000</v>
      </c>
      <c r="O38" s="28">
        <v>25510</v>
      </c>
      <c r="P38" s="28">
        <v>24085</v>
      </c>
      <c r="Q38" s="28">
        <v>22525</v>
      </c>
      <c r="R38" s="28">
        <v>21030</v>
      </c>
      <c r="S38" s="28">
        <v>19540</v>
      </c>
      <c r="T38" s="28">
        <v>18095</v>
      </c>
      <c r="U38" s="28">
        <v>16555</v>
      </c>
      <c r="V38" s="29">
        <v>83740</v>
      </c>
      <c r="W38" s="30">
        <f t="shared" si="1"/>
        <v>471015</v>
      </c>
    </row>
    <row r="39" spans="1:23" s="26" customFormat="1" ht="12.75" customHeight="1">
      <c r="A39" s="246">
        <v>17</v>
      </c>
      <c r="B39" s="22" t="s">
        <v>13</v>
      </c>
      <c r="C39" s="306" t="s">
        <v>63</v>
      </c>
      <c r="D39" s="306">
        <v>645</v>
      </c>
      <c r="E39" s="308">
        <v>785535</v>
      </c>
      <c r="F39" s="323" t="s">
        <v>64</v>
      </c>
      <c r="G39" s="50" t="s">
        <v>16</v>
      </c>
      <c r="H39" s="23">
        <v>6000</v>
      </c>
      <c r="I39" s="23">
        <v>10000</v>
      </c>
      <c r="J39" s="23">
        <v>20000</v>
      </c>
      <c r="K39" s="23">
        <v>66200</v>
      </c>
      <c r="L39" s="23">
        <v>66200</v>
      </c>
      <c r="M39" s="23">
        <v>66200</v>
      </c>
      <c r="N39" s="23">
        <v>66200</v>
      </c>
      <c r="O39" s="23">
        <v>66200</v>
      </c>
      <c r="P39" s="23">
        <v>66200</v>
      </c>
      <c r="Q39" s="23">
        <v>66200</v>
      </c>
      <c r="R39" s="23">
        <v>66200</v>
      </c>
      <c r="S39" s="23">
        <v>66200</v>
      </c>
      <c r="T39" s="23">
        <v>66200</v>
      </c>
      <c r="U39" s="23">
        <v>66200</v>
      </c>
      <c r="V39" s="24">
        <v>14960</v>
      </c>
      <c r="W39" s="25">
        <f t="shared" si="1"/>
        <v>779160</v>
      </c>
    </row>
    <row r="40" spans="1:23" s="26" customFormat="1" ht="12.75">
      <c r="A40" s="247"/>
      <c r="B40" s="27" t="s">
        <v>65</v>
      </c>
      <c r="C40" s="307"/>
      <c r="D40" s="307"/>
      <c r="E40" s="309"/>
      <c r="F40" s="324"/>
      <c r="G40" s="51">
        <v>0.04369</v>
      </c>
      <c r="H40" s="28">
        <v>35815</v>
      </c>
      <c r="I40" s="28">
        <v>39110</v>
      </c>
      <c r="J40" s="28">
        <v>36585</v>
      </c>
      <c r="K40" s="28">
        <v>29625</v>
      </c>
      <c r="L40" s="28">
        <v>27120</v>
      </c>
      <c r="M40" s="28">
        <v>24360</v>
      </c>
      <c r="N40" s="28">
        <v>21675</v>
      </c>
      <c r="O40" s="28">
        <v>18990</v>
      </c>
      <c r="P40" s="28">
        <v>16350</v>
      </c>
      <c r="Q40" s="28">
        <v>13620</v>
      </c>
      <c r="R40" s="28">
        <v>10935</v>
      </c>
      <c r="S40" s="28">
        <v>8250</v>
      </c>
      <c r="T40" s="28">
        <v>5580</v>
      </c>
      <c r="U40" s="28">
        <v>2880</v>
      </c>
      <c r="V40" s="29">
        <v>435</v>
      </c>
      <c r="W40" s="30">
        <f t="shared" si="1"/>
        <v>291330</v>
      </c>
    </row>
    <row r="41" spans="1:23" s="26" customFormat="1" ht="17.25" customHeight="1">
      <c r="A41" s="246">
        <v>18</v>
      </c>
      <c r="B41" s="22" t="s">
        <v>13</v>
      </c>
      <c r="C41" s="306" t="s">
        <v>66</v>
      </c>
      <c r="D41" s="306">
        <v>646</v>
      </c>
      <c r="E41" s="317">
        <f>2223157+31089</f>
        <v>2254246</v>
      </c>
      <c r="F41" s="304" t="s">
        <v>67</v>
      </c>
      <c r="G41" s="50" t="s">
        <v>16</v>
      </c>
      <c r="H41" s="23">
        <v>10000</v>
      </c>
      <c r="I41" s="23">
        <v>20000</v>
      </c>
      <c r="J41" s="23">
        <v>40000</v>
      </c>
      <c r="K41" s="23">
        <v>102248</v>
      </c>
      <c r="L41" s="23">
        <v>102248</v>
      </c>
      <c r="M41" s="23">
        <v>102248</v>
      </c>
      <c r="N41" s="23">
        <v>102248</v>
      </c>
      <c r="O41" s="23">
        <v>102248</v>
      </c>
      <c r="P41" s="23">
        <v>102248</v>
      </c>
      <c r="Q41" s="23">
        <v>102248</v>
      </c>
      <c r="R41" s="23">
        <v>102248</v>
      </c>
      <c r="S41" s="23">
        <v>102248</v>
      </c>
      <c r="T41" s="23">
        <v>102248</v>
      </c>
      <c r="U41" s="23">
        <v>102248</v>
      </c>
      <c r="V41" s="24">
        <v>1048018</v>
      </c>
      <c r="W41" s="25">
        <f t="shared" si="1"/>
        <v>2242746</v>
      </c>
    </row>
    <row r="42" spans="1:23" s="26" customFormat="1" ht="26.25" customHeight="1">
      <c r="A42" s="247"/>
      <c r="B42" s="27" t="s">
        <v>68</v>
      </c>
      <c r="C42" s="307"/>
      <c r="D42" s="307"/>
      <c r="E42" s="318"/>
      <c r="F42" s="305"/>
      <c r="G42" s="51">
        <v>0.04369</v>
      </c>
      <c r="H42" s="28">
        <v>103150</v>
      </c>
      <c r="I42" s="28">
        <v>113005</v>
      </c>
      <c r="J42" s="28">
        <v>106205</v>
      </c>
      <c r="K42" s="28">
        <v>87340</v>
      </c>
      <c r="L42" s="28">
        <v>83565</v>
      </c>
      <c r="M42" s="28">
        <v>79185</v>
      </c>
      <c r="N42" s="28">
        <v>75040</v>
      </c>
      <c r="O42" s="28">
        <v>70895</v>
      </c>
      <c r="P42" s="28">
        <v>66930</v>
      </c>
      <c r="Q42" s="28">
        <v>62600</v>
      </c>
      <c r="R42" s="28">
        <v>58455</v>
      </c>
      <c r="S42" s="28">
        <v>54305</v>
      </c>
      <c r="T42" s="28">
        <v>50300</v>
      </c>
      <c r="U42" s="28">
        <v>46015</v>
      </c>
      <c r="V42" s="29">
        <v>232895</v>
      </c>
      <c r="W42" s="30">
        <f t="shared" si="1"/>
        <v>1289885</v>
      </c>
    </row>
    <row r="43" spans="1:23" s="26" customFormat="1" ht="17.25" customHeight="1">
      <c r="A43" s="246">
        <v>19</v>
      </c>
      <c r="B43" s="22" t="s">
        <v>13</v>
      </c>
      <c r="C43" s="306" t="s">
        <v>69</v>
      </c>
      <c r="D43" s="306">
        <v>647</v>
      </c>
      <c r="E43" s="308">
        <v>1632032</v>
      </c>
      <c r="F43" s="304" t="s">
        <v>67</v>
      </c>
      <c r="G43" s="50" t="s">
        <v>16</v>
      </c>
      <c r="H43" s="23">
        <v>20000</v>
      </c>
      <c r="I43" s="23">
        <v>40000</v>
      </c>
      <c r="J43" s="23">
        <v>60000</v>
      </c>
      <c r="K43" s="23">
        <v>65168</v>
      </c>
      <c r="L43" s="23">
        <v>65168</v>
      </c>
      <c r="M43" s="23">
        <v>65168</v>
      </c>
      <c r="N43" s="23">
        <v>65168</v>
      </c>
      <c r="O43" s="23">
        <v>65168</v>
      </c>
      <c r="P43" s="23">
        <v>65168</v>
      </c>
      <c r="Q43" s="23">
        <v>65168</v>
      </c>
      <c r="R43" s="23">
        <v>65168</v>
      </c>
      <c r="S43" s="23">
        <v>65168</v>
      </c>
      <c r="T43" s="23">
        <v>65168</v>
      </c>
      <c r="U43" s="23">
        <v>65168</v>
      </c>
      <c r="V43" s="24">
        <v>667953</v>
      </c>
      <c r="W43" s="25">
        <f t="shared" si="1"/>
        <v>1504801</v>
      </c>
    </row>
    <row r="44" spans="1:23" s="26" customFormat="1" ht="15.75" customHeight="1">
      <c r="A44" s="247"/>
      <c r="B44" s="27" t="s">
        <v>70</v>
      </c>
      <c r="C44" s="307"/>
      <c r="D44" s="307"/>
      <c r="E44" s="309"/>
      <c r="F44" s="305"/>
      <c r="G44" s="51">
        <v>0.04369</v>
      </c>
      <c r="H44" s="28">
        <v>69080</v>
      </c>
      <c r="I44" s="28">
        <v>74905</v>
      </c>
      <c r="J44" s="28">
        <v>69110</v>
      </c>
      <c r="K44" s="28">
        <v>55745</v>
      </c>
      <c r="L44" s="28">
        <v>53260</v>
      </c>
      <c r="M44" s="28">
        <v>50470</v>
      </c>
      <c r="N44" s="28">
        <v>47830</v>
      </c>
      <c r="O44" s="28">
        <v>45185</v>
      </c>
      <c r="P44" s="28">
        <v>42660</v>
      </c>
      <c r="Q44" s="28">
        <v>39900</v>
      </c>
      <c r="R44" s="28">
        <v>37255</v>
      </c>
      <c r="S44" s="28">
        <v>34615</v>
      </c>
      <c r="T44" s="28">
        <v>32060</v>
      </c>
      <c r="U44" s="28">
        <v>29325</v>
      </c>
      <c r="V44" s="29">
        <v>148435</v>
      </c>
      <c r="W44" s="30">
        <f t="shared" si="1"/>
        <v>829835</v>
      </c>
    </row>
    <row r="45" spans="1:23" s="26" customFormat="1" ht="18" customHeight="1">
      <c r="A45" s="246">
        <v>20</v>
      </c>
      <c r="B45" s="22" t="s">
        <v>13</v>
      </c>
      <c r="C45" s="306" t="s">
        <v>71</v>
      </c>
      <c r="D45" s="306">
        <v>649</v>
      </c>
      <c r="E45" s="317">
        <f>1181972+164205</f>
        <v>1346177</v>
      </c>
      <c r="F45" s="304" t="s">
        <v>72</v>
      </c>
      <c r="G45" s="50" t="s">
        <v>16</v>
      </c>
      <c r="H45" s="23">
        <v>10000</v>
      </c>
      <c r="I45" s="23">
        <v>20000</v>
      </c>
      <c r="J45" s="23">
        <v>40000</v>
      </c>
      <c r="K45" s="23">
        <v>51324</v>
      </c>
      <c r="L45" s="23">
        <v>59336</v>
      </c>
      <c r="M45" s="23">
        <v>59336</v>
      </c>
      <c r="N45" s="23">
        <v>59336</v>
      </c>
      <c r="O45" s="23">
        <v>59336</v>
      </c>
      <c r="P45" s="23">
        <v>59336</v>
      </c>
      <c r="Q45" s="23">
        <v>59336</v>
      </c>
      <c r="R45" s="23">
        <v>59336</v>
      </c>
      <c r="S45" s="23">
        <v>59336</v>
      </c>
      <c r="T45" s="23">
        <v>59336</v>
      </c>
      <c r="U45" s="23">
        <v>59336</v>
      </c>
      <c r="V45" s="24">
        <v>622993</v>
      </c>
      <c r="W45" s="25">
        <f t="shared" si="1"/>
        <v>1337677</v>
      </c>
    </row>
    <row r="46" spans="1:23" s="26" customFormat="1" ht="15.75" customHeight="1">
      <c r="A46" s="247"/>
      <c r="B46" s="27" t="s">
        <v>73</v>
      </c>
      <c r="C46" s="307"/>
      <c r="D46" s="307"/>
      <c r="E46" s="318"/>
      <c r="F46" s="305"/>
      <c r="G46" s="51">
        <v>0.04364</v>
      </c>
      <c r="H46" s="28">
        <v>61440</v>
      </c>
      <c r="I46" s="28">
        <v>67125</v>
      </c>
      <c r="J46" s="28">
        <v>62640</v>
      </c>
      <c r="K46" s="28">
        <v>51070</v>
      </c>
      <c r="L46" s="28">
        <v>49080</v>
      </c>
      <c r="M46" s="28">
        <v>46555</v>
      </c>
      <c r="N46" s="28">
        <v>44150</v>
      </c>
      <c r="O46" s="28">
        <v>41740</v>
      </c>
      <c r="P46" s="28">
        <v>39445</v>
      </c>
      <c r="Q46" s="28">
        <v>36930</v>
      </c>
      <c r="R46" s="28">
        <v>34525</v>
      </c>
      <c r="S46" s="28">
        <v>32115</v>
      </c>
      <c r="T46" s="28">
        <v>29795</v>
      </c>
      <c r="U46" s="28">
        <v>27305</v>
      </c>
      <c r="V46" s="29">
        <v>141600</v>
      </c>
      <c r="W46" s="30">
        <f t="shared" si="1"/>
        <v>765515</v>
      </c>
    </row>
    <row r="47" spans="1:23" s="26" customFormat="1" ht="12.75" customHeight="1">
      <c r="A47" s="246">
        <v>21</v>
      </c>
      <c r="B47" s="22" t="s">
        <v>13</v>
      </c>
      <c r="C47" s="306" t="s">
        <v>74</v>
      </c>
      <c r="D47" s="306">
        <v>650</v>
      </c>
      <c r="E47" s="308">
        <f>1108154-97425-61240.54</f>
        <v>949488.46</v>
      </c>
      <c r="F47" s="304" t="s">
        <v>75</v>
      </c>
      <c r="G47" s="50" t="s">
        <v>16</v>
      </c>
      <c r="H47" s="23">
        <v>10000</v>
      </c>
      <c r="I47" s="23">
        <v>16000</v>
      </c>
      <c r="J47" s="23">
        <v>28000</v>
      </c>
      <c r="K47" s="23">
        <v>35944</v>
      </c>
      <c r="L47" s="23">
        <v>35944</v>
      </c>
      <c r="M47" s="23">
        <v>35944</v>
      </c>
      <c r="N47" s="23">
        <v>35944</v>
      </c>
      <c r="O47" s="23">
        <v>35944</v>
      </c>
      <c r="P47" s="23">
        <v>35944</v>
      </c>
      <c r="Q47" s="23">
        <v>35944</v>
      </c>
      <c r="R47" s="23">
        <v>35944</v>
      </c>
      <c r="S47" s="23">
        <v>35944</v>
      </c>
      <c r="T47" s="23">
        <v>35944</v>
      </c>
      <c r="U47" s="23">
        <v>35944</v>
      </c>
      <c r="V47" s="24">
        <v>368406</v>
      </c>
      <c r="W47" s="25">
        <f t="shared" si="1"/>
        <v>817790</v>
      </c>
    </row>
    <row r="48" spans="1:23" s="26" customFormat="1" ht="12.75">
      <c r="A48" s="247"/>
      <c r="B48" s="27" t="s">
        <v>76</v>
      </c>
      <c r="C48" s="307"/>
      <c r="D48" s="307"/>
      <c r="E48" s="309"/>
      <c r="F48" s="305"/>
      <c r="G48" s="51">
        <v>0.04364</v>
      </c>
      <c r="H48" s="28">
        <v>37525</v>
      </c>
      <c r="I48" s="28">
        <v>40810</v>
      </c>
      <c r="J48" s="28">
        <v>37905</v>
      </c>
      <c r="K48" s="28">
        <v>30735</v>
      </c>
      <c r="L48" s="28">
        <v>29375</v>
      </c>
      <c r="M48" s="28">
        <v>27840</v>
      </c>
      <c r="N48" s="28">
        <v>26380</v>
      </c>
      <c r="O48" s="28">
        <v>24925</v>
      </c>
      <c r="P48" s="28">
        <v>23530</v>
      </c>
      <c r="Q48" s="28">
        <v>22005</v>
      </c>
      <c r="R48" s="28">
        <v>20550</v>
      </c>
      <c r="S48" s="28">
        <v>19090</v>
      </c>
      <c r="T48" s="28">
        <v>17685</v>
      </c>
      <c r="U48" s="28">
        <v>16175</v>
      </c>
      <c r="V48" s="29">
        <v>81870</v>
      </c>
      <c r="W48" s="30">
        <f t="shared" si="1"/>
        <v>456400</v>
      </c>
    </row>
    <row r="49" spans="1:23" s="26" customFormat="1" ht="12.75" customHeight="1">
      <c r="A49" s="246">
        <v>22</v>
      </c>
      <c r="B49" s="22" t="s">
        <v>13</v>
      </c>
      <c r="C49" s="306" t="s">
        <v>77</v>
      </c>
      <c r="D49" s="306">
        <v>651</v>
      </c>
      <c r="E49" s="308">
        <f>225000-4003.53</f>
        <v>220996.47</v>
      </c>
      <c r="F49" s="304" t="s">
        <v>78</v>
      </c>
      <c r="G49" s="50" t="s">
        <v>16</v>
      </c>
      <c r="H49" s="23">
        <v>6000</v>
      </c>
      <c r="I49" s="23">
        <v>8000</v>
      </c>
      <c r="J49" s="23">
        <v>16380</v>
      </c>
      <c r="K49" s="23">
        <v>16380</v>
      </c>
      <c r="L49" s="23">
        <v>16380</v>
      </c>
      <c r="M49" s="23">
        <v>16380</v>
      </c>
      <c r="N49" s="23">
        <v>16380</v>
      </c>
      <c r="O49" s="23">
        <v>16380</v>
      </c>
      <c r="P49" s="23">
        <v>16380</v>
      </c>
      <c r="Q49" s="23">
        <v>16380</v>
      </c>
      <c r="R49" s="23">
        <v>16380</v>
      </c>
      <c r="S49" s="23">
        <v>16380</v>
      </c>
      <c r="T49" s="52">
        <v>16380</v>
      </c>
      <c r="U49" s="52">
        <v>16380</v>
      </c>
      <c r="V49" s="53">
        <v>4061.47</v>
      </c>
      <c r="W49" s="25">
        <f t="shared" si="1"/>
        <v>214621.47</v>
      </c>
    </row>
    <row r="50" spans="1:23" s="26" customFormat="1" ht="12.75">
      <c r="A50" s="247"/>
      <c r="B50" s="27" t="s">
        <v>79</v>
      </c>
      <c r="C50" s="307"/>
      <c r="D50" s="307"/>
      <c r="E50" s="309"/>
      <c r="F50" s="305"/>
      <c r="G50" s="51">
        <v>0.04364</v>
      </c>
      <c r="H50" s="54">
        <v>9820</v>
      </c>
      <c r="I50" s="54">
        <v>10510</v>
      </c>
      <c r="J50" s="54">
        <v>9530</v>
      </c>
      <c r="K50" s="54">
        <v>7370</v>
      </c>
      <c r="L50" s="54">
        <v>6725</v>
      </c>
      <c r="M50" s="54">
        <v>6045</v>
      </c>
      <c r="N50" s="54">
        <v>5380</v>
      </c>
      <c r="O50" s="54">
        <v>4715</v>
      </c>
      <c r="P50" s="54">
        <v>4060</v>
      </c>
      <c r="Q50" s="54">
        <v>3385</v>
      </c>
      <c r="R50" s="54">
        <v>2720</v>
      </c>
      <c r="S50" s="54">
        <v>2060</v>
      </c>
      <c r="T50" s="54">
        <v>1395</v>
      </c>
      <c r="U50" s="54">
        <v>730</v>
      </c>
      <c r="V50" s="55">
        <v>115</v>
      </c>
      <c r="W50" s="30">
        <f t="shared" si="1"/>
        <v>74560</v>
      </c>
    </row>
    <row r="51" spans="1:23" s="26" customFormat="1" ht="12.75" customHeight="1">
      <c r="A51" s="246">
        <v>23</v>
      </c>
      <c r="B51" s="22" t="s">
        <v>13</v>
      </c>
      <c r="C51" s="306" t="s">
        <v>80</v>
      </c>
      <c r="D51" s="306">
        <v>652</v>
      </c>
      <c r="E51" s="308">
        <f>888438-1.11</f>
        <v>888436.89</v>
      </c>
      <c r="F51" s="304" t="s">
        <v>81</v>
      </c>
      <c r="G51" s="50" t="s">
        <v>16</v>
      </c>
      <c r="H51" s="23">
        <v>10000</v>
      </c>
      <c r="I51" s="23">
        <v>20000</v>
      </c>
      <c r="J51" s="23">
        <v>40000</v>
      </c>
      <c r="K51" s="23">
        <v>70384</v>
      </c>
      <c r="L51" s="23">
        <v>70384</v>
      </c>
      <c r="M51" s="23">
        <v>70384</v>
      </c>
      <c r="N51" s="23">
        <v>70384</v>
      </c>
      <c r="O51" s="23">
        <v>70384</v>
      </c>
      <c r="P51" s="23">
        <v>70384</v>
      </c>
      <c r="Q51" s="23">
        <v>70384</v>
      </c>
      <c r="R51" s="23">
        <v>70384</v>
      </c>
      <c r="S51" s="23">
        <v>70384</v>
      </c>
      <c r="T51" s="52">
        <v>70384</v>
      </c>
      <c r="U51" s="52">
        <v>70384</v>
      </c>
      <c r="V51" s="52">
        <v>35212.89</v>
      </c>
      <c r="W51" s="25">
        <f t="shared" si="1"/>
        <v>879436.89</v>
      </c>
    </row>
    <row r="52" spans="1:23" s="26" customFormat="1" ht="12.75">
      <c r="A52" s="322"/>
      <c r="B52" s="56" t="s">
        <v>82</v>
      </c>
      <c r="C52" s="315"/>
      <c r="D52" s="315"/>
      <c r="E52" s="316"/>
      <c r="F52" s="305"/>
      <c r="G52" s="51">
        <v>0.04369</v>
      </c>
      <c r="H52" s="28">
        <v>39280</v>
      </c>
      <c r="I52" s="28">
        <v>39505</v>
      </c>
      <c r="J52" s="28">
        <v>37370</v>
      </c>
      <c r="K52" s="28">
        <v>32320</v>
      </c>
      <c r="L52" s="28">
        <v>29615</v>
      </c>
      <c r="M52" s="28">
        <v>26680</v>
      </c>
      <c r="N52" s="28">
        <v>23825</v>
      </c>
      <c r="O52" s="28">
        <v>20970</v>
      </c>
      <c r="P52" s="28">
        <v>18170</v>
      </c>
      <c r="Q52" s="28">
        <v>15265</v>
      </c>
      <c r="R52" s="28">
        <v>12410</v>
      </c>
      <c r="S52" s="28">
        <v>9555</v>
      </c>
      <c r="T52" s="28">
        <v>6720</v>
      </c>
      <c r="U52" s="28">
        <v>3845</v>
      </c>
      <c r="V52" s="28">
        <v>1010</v>
      </c>
      <c r="W52" s="57">
        <f t="shared" si="1"/>
        <v>316540</v>
      </c>
    </row>
    <row r="53" spans="1:23" s="61" customFormat="1" ht="17.25" customHeight="1">
      <c r="A53" s="246">
        <v>24</v>
      </c>
      <c r="B53" s="22" t="s">
        <v>13</v>
      </c>
      <c r="C53" s="306" t="s">
        <v>83</v>
      </c>
      <c r="D53" s="306">
        <v>653</v>
      </c>
      <c r="E53" s="308">
        <f>74835+24822-0.26+294955-28536.73</f>
        <v>366075.01</v>
      </c>
      <c r="F53" s="304" t="s">
        <v>84</v>
      </c>
      <c r="G53" s="50" t="s">
        <v>16</v>
      </c>
      <c r="H53" s="59">
        <v>27156</v>
      </c>
      <c r="I53" s="59">
        <v>27156</v>
      </c>
      <c r="J53" s="59">
        <v>27156</v>
      </c>
      <c r="K53" s="59">
        <v>27156</v>
      </c>
      <c r="L53" s="58">
        <v>13572</v>
      </c>
      <c r="M53" s="59"/>
      <c r="N53" s="59"/>
      <c r="O53" s="59"/>
      <c r="P53" s="59"/>
      <c r="Q53" s="59"/>
      <c r="R53" s="59"/>
      <c r="S53" s="59"/>
      <c r="T53" s="59"/>
      <c r="U53" s="59"/>
      <c r="V53" s="60"/>
      <c r="W53" s="25">
        <f t="shared" si="1"/>
        <v>122196</v>
      </c>
    </row>
    <row r="54" spans="1:23" s="61" customFormat="1" ht="14.25" customHeight="1">
      <c r="A54" s="247"/>
      <c r="B54" s="27" t="s">
        <v>85</v>
      </c>
      <c r="C54" s="307"/>
      <c r="D54" s="307"/>
      <c r="E54" s="309"/>
      <c r="F54" s="305"/>
      <c r="G54" s="51">
        <v>0.04369</v>
      </c>
      <c r="H54" s="28">
        <v>5415</v>
      </c>
      <c r="I54" s="28">
        <v>4610</v>
      </c>
      <c r="J54" s="28">
        <v>3095</v>
      </c>
      <c r="K54" s="28">
        <v>1485</v>
      </c>
      <c r="L54" s="28">
        <v>390</v>
      </c>
      <c r="M54" s="28"/>
      <c r="N54" s="28"/>
      <c r="O54" s="28"/>
      <c r="P54" s="28"/>
      <c r="Q54" s="28"/>
      <c r="R54" s="28"/>
      <c r="S54" s="28"/>
      <c r="T54" s="28"/>
      <c r="U54" s="28"/>
      <c r="V54" s="29"/>
      <c r="W54" s="30">
        <f t="shared" si="1"/>
        <v>14995</v>
      </c>
    </row>
    <row r="55" spans="1:23" s="26" customFormat="1" ht="12.75" customHeight="1">
      <c r="A55" s="319">
        <v>25</v>
      </c>
      <c r="B55" s="62" t="s">
        <v>13</v>
      </c>
      <c r="C55" s="320" t="s">
        <v>86</v>
      </c>
      <c r="D55" s="320">
        <v>654</v>
      </c>
      <c r="E55" s="321">
        <v>74150</v>
      </c>
      <c r="F55" s="304" t="s">
        <v>87</v>
      </c>
      <c r="G55" s="50" t="s">
        <v>16</v>
      </c>
      <c r="H55" s="23">
        <v>4380</v>
      </c>
      <c r="I55" s="23">
        <v>4760</v>
      </c>
      <c r="J55" s="23">
        <v>4760</v>
      </c>
      <c r="K55" s="23">
        <v>4760</v>
      </c>
      <c r="L55" s="23">
        <v>4760</v>
      </c>
      <c r="M55" s="23">
        <v>4760</v>
      </c>
      <c r="N55" s="23">
        <v>4760</v>
      </c>
      <c r="O55" s="23">
        <v>4760</v>
      </c>
      <c r="P55" s="23">
        <v>4760</v>
      </c>
      <c r="Q55" s="23">
        <v>4760</v>
      </c>
      <c r="R55" s="23">
        <v>4760</v>
      </c>
      <c r="S55" s="23">
        <v>4760</v>
      </c>
      <c r="T55" s="23">
        <v>4760</v>
      </c>
      <c r="U55" s="23">
        <v>4760</v>
      </c>
      <c r="V55" s="24">
        <v>2390</v>
      </c>
      <c r="W55" s="63">
        <f t="shared" si="1"/>
        <v>68650</v>
      </c>
    </row>
    <row r="56" spans="1:23" s="26" customFormat="1" ht="12.75">
      <c r="A56" s="247"/>
      <c r="B56" s="27" t="s">
        <v>88</v>
      </c>
      <c r="C56" s="307"/>
      <c r="D56" s="307"/>
      <c r="E56" s="309"/>
      <c r="F56" s="305"/>
      <c r="G56" s="51">
        <v>0.04369</v>
      </c>
      <c r="H56" s="28">
        <v>3045</v>
      </c>
      <c r="I56" s="28">
        <v>2900</v>
      </c>
      <c r="J56" s="28">
        <v>2610</v>
      </c>
      <c r="K56" s="28">
        <v>2195</v>
      </c>
      <c r="L56" s="28">
        <v>2005</v>
      </c>
      <c r="M56" s="28">
        <v>1805</v>
      </c>
      <c r="N56" s="28">
        <v>1615</v>
      </c>
      <c r="O56" s="28">
        <v>1420</v>
      </c>
      <c r="P56" s="28">
        <v>1230</v>
      </c>
      <c r="Q56" s="28">
        <v>1035</v>
      </c>
      <c r="R56" s="28">
        <v>840</v>
      </c>
      <c r="S56" s="28">
        <v>650</v>
      </c>
      <c r="T56" s="28">
        <v>455</v>
      </c>
      <c r="U56" s="28">
        <v>265</v>
      </c>
      <c r="V56" s="29">
        <v>70</v>
      </c>
      <c r="W56" s="30">
        <f t="shared" si="1"/>
        <v>22140</v>
      </c>
    </row>
    <row r="57" spans="1:23" s="26" customFormat="1" ht="16.5" customHeight="1">
      <c r="A57" s="246">
        <v>26</v>
      </c>
      <c r="B57" s="22" t="s">
        <v>13</v>
      </c>
      <c r="C57" s="306" t="s">
        <v>89</v>
      </c>
      <c r="D57" s="306">
        <v>655</v>
      </c>
      <c r="E57" s="308">
        <v>250000</v>
      </c>
      <c r="F57" s="304" t="s">
        <v>90</v>
      </c>
      <c r="G57" s="50" t="s">
        <v>16</v>
      </c>
      <c r="H57" s="23">
        <v>3000</v>
      </c>
      <c r="I57" s="23">
        <v>6000</v>
      </c>
      <c r="J57" s="23">
        <v>18644</v>
      </c>
      <c r="K57" s="23">
        <v>18644</v>
      </c>
      <c r="L57" s="23">
        <v>18644</v>
      </c>
      <c r="M57" s="23">
        <v>18644</v>
      </c>
      <c r="N57" s="23">
        <v>18644</v>
      </c>
      <c r="O57" s="23">
        <v>18644</v>
      </c>
      <c r="P57" s="23">
        <v>18644</v>
      </c>
      <c r="Q57" s="23">
        <v>18644</v>
      </c>
      <c r="R57" s="23">
        <v>18644</v>
      </c>
      <c r="S57" s="23">
        <v>18644</v>
      </c>
      <c r="T57" s="23">
        <v>18644</v>
      </c>
      <c r="U57" s="23">
        <v>18644</v>
      </c>
      <c r="V57" s="24">
        <v>13972</v>
      </c>
      <c r="W57" s="25">
        <f t="shared" si="1"/>
        <v>246700</v>
      </c>
    </row>
    <row r="58" spans="1:23" s="26" customFormat="1" ht="17.25" customHeight="1">
      <c r="A58" s="247"/>
      <c r="B58" s="27" t="s">
        <v>91</v>
      </c>
      <c r="C58" s="307"/>
      <c r="D58" s="307"/>
      <c r="E58" s="309"/>
      <c r="F58" s="305"/>
      <c r="G58" s="51">
        <v>0.04369</v>
      </c>
      <c r="H58" s="28">
        <v>11030</v>
      </c>
      <c r="I58" s="28">
        <v>11075</v>
      </c>
      <c r="J58" s="28">
        <v>10395</v>
      </c>
      <c r="K58" s="28">
        <v>8770</v>
      </c>
      <c r="L58" s="28">
        <v>8035</v>
      </c>
      <c r="M58" s="28">
        <v>7260</v>
      </c>
      <c r="N58" s="28">
        <v>6500</v>
      </c>
      <c r="O58" s="28">
        <v>5745</v>
      </c>
      <c r="P58" s="28">
        <v>5005</v>
      </c>
      <c r="Q58" s="28">
        <v>4235</v>
      </c>
      <c r="R58" s="28">
        <v>3475</v>
      </c>
      <c r="S58" s="28">
        <v>2720</v>
      </c>
      <c r="T58" s="28">
        <v>1970</v>
      </c>
      <c r="U58" s="28">
        <v>1210</v>
      </c>
      <c r="V58" s="29">
        <v>450</v>
      </c>
      <c r="W58" s="30">
        <f t="shared" si="1"/>
        <v>87875</v>
      </c>
    </row>
    <row r="59" spans="1:23" s="26" customFormat="1" ht="12.75" customHeight="1">
      <c r="A59" s="246">
        <v>27</v>
      </c>
      <c r="B59" s="22" t="s">
        <v>13</v>
      </c>
      <c r="C59" s="306" t="s">
        <v>92</v>
      </c>
      <c r="D59" s="306">
        <v>656</v>
      </c>
      <c r="E59" s="308">
        <v>4203541</v>
      </c>
      <c r="F59" s="304" t="s">
        <v>93</v>
      </c>
      <c r="G59" s="50" t="s">
        <v>16</v>
      </c>
      <c r="H59" s="45">
        <v>5000</v>
      </c>
      <c r="I59" s="45">
        <v>10000</v>
      </c>
      <c r="J59" s="45">
        <v>20000</v>
      </c>
      <c r="K59" s="45">
        <v>50000</v>
      </c>
      <c r="L59" s="45">
        <v>62000</v>
      </c>
      <c r="M59" s="45">
        <v>80000</v>
      </c>
      <c r="N59" s="45">
        <v>223540</v>
      </c>
      <c r="O59" s="45">
        <v>223540</v>
      </c>
      <c r="P59" s="45">
        <v>223540</v>
      </c>
      <c r="Q59" s="46">
        <v>223540</v>
      </c>
      <c r="R59" s="46">
        <v>223540</v>
      </c>
      <c r="S59" s="46">
        <v>223540</v>
      </c>
      <c r="T59" s="23">
        <v>223540</v>
      </c>
      <c r="U59" s="23">
        <v>223540</v>
      </c>
      <c r="V59" s="23">
        <v>2179471</v>
      </c>
      <c r="W59" s="25">
        <f t="shared" si="1"/>
        <v>4194791</v>
      </c>
    </row>
    <row r="60" spans="1:23" s="26" customFormat="1" ht="12.75">
      <c r="A60" s="247"/>
      <c r="B60" s="27" t="s">
        <v>94</v>
      </c>
      <c r="C60" s="307"/>
      <c r="D60" s="307"/>
      <c r="E60" s="309"/>
      <c r="F60" s="305"/>
      <c r="G60" s="51">
        <v>0.04395</v>
      </c>
      <c r="H60" s="48">
        <v>184325</v>
      </c>
      <c r="I60" s="48">
        <v>212310</v>
      </c>
      <c r="J60" s="48">
        <v>211710</v>
      </c>
      <c r="K60" s="48">
        <v>168325</v>
      </c>
      <c r="L60" s="48">
        <v>166720</v>
      </c>
      <c r="M60" s="48">
        <v>163620</v>
      </c>
      <c r="N60" s="48">
        <v>159200</v>
      </c>
      <c r="O60" s="48">
        <v>150455</v>
      </c>
      <c r="P60" s="48">
        <v>141780</v>
      </c>
      <c r="Q60" s="48">
        <v>132325</v>
      </c>
      <c r="R60" s="48">
        <v>123260</v>
      </c>
      <c r="S60" s="48">
        <v>114190</v>
      </c>
      <c r="T60" s="28">
        <v>105420</v>
      </c>
      <c r="U60" s="28">
        <v>96060</v>
      </c>
      <c r="V60" s="28">
        <v>462255</v>
      </c>
      <c r="W60" s="30">
        <f t="shared" si="1"/>
        <v>2591955</v>
      </c>
    </row>
    <row r="61" spans="1:23" s="26" customFormat="1" ht="17.25" customHeight="1">
      <c r="A61" s="246">
        <v>28</v>
      </c>
      <c r="B61" s="22" t="s">
        <v>13</v>
      </c>
      <c r="C61" s="306" t="s">
        <v>95</v>
      </c>
      <c r="D61" s="306">
        <v>657</v>
      </c>
      <c r="E61" s="317">
        <v>546548</v>
      </c>
      <c r="F61" s="304" t="s">
        <v>96</v>
      </c>
      <c r="G61" s="50" t="s">
        <v>16</v>
      </c>
      <c r="H61" s="23">
        <v>70472</v>
      </c>
      <c r="I61" s="23">
        <v>70472</v>
      </c>
      <c r="J61" s="23">
        <v>70472</v>
      </c>
      <c r="K61" s="23">
        <v>70472</v>
      </c>
      <c r="L61" s="52">
        <f>52844-5352.46-2293.91-53.55-22.95-1124.47</f>
        <v>43996.66</v>
      </c>
      <c r="M61" s="23"/>
      <c r="N61" s="23"/>
      <c r="O61" s="23"/>
      <c r="P61" s="23"/>
      <c r="Q61" s="45"/>
      <c r="R61" s="45"/>
      <c r="S61" s="45"/>
      <c r="T61" s="46"/>
      <c r="U61" s="46"/>
      <c r="V61" s="47"/>
      <c r="W61" s="25">
        <f t="shared" si="1"/>
        <v>325884.66000000003</v>
      </c>
    </row>
    <row r="62" spans="1:23" s="26" customFormat="1" ht="18" customHeight="1">
      <c r="A62" s="247"/>
      <c r="B62" s="27" t="s">
        <v>97</v>
      </c>
      <c r="C62" s="307"/>
      <c r="D62" s="307"/>
      <c r="E62" s="318"/>
      <c r="F62" s="305"/>
      <c r="G62" s="51">
        <v>0.0313</v>
      </c>
      <c r="H62" s="28">
        <v>14265</v>
      </c>
      <c r="I62" s="28">
        <v>12400</v>
      </c>
      <c r="J62" s="28">
        <v>8825</v>
      </c>
      <c r="K62" s="28">
        <v>4205</v>
      </c>
      <c r="L62" s="28">
        <v>1360</v>
      </c>
      <c r="M62" s="28"/>
      <c r="N62" s="28"/>
      <c r="O62" s="28"/>
      <c r="P62" s="28"/>
      <c r="Q62" s="48"/>
      <c r="R62" s="48"/>
      <c r="S62" s="48"/>
      <c r="T62" s="48"/>
      <c r="U62" s="48"/>
      <c r="V62" s="49"/>
      <c r="W62" s="30">
        <f t="shared" si="1"/>
        <v>41055</v>
      </c>
    </row>
    <row r="63" spans="1:23" s="26" customFormat="1" ht="16.5" customHeight="1">
      <c r="A63" s="246">
        <v>29</v>
      </c>
      <c r="B63" s="22" t="s">
        <v>13</v>
      </c>
      <c r="C63" s="306" t="s">
        <v>98</v>
      </c>
      <c r="D63" s="306">
        <v>658</v>
      </c>
      <c r="E63" s="308">
        <f>149917-0.42</f>
        <v>149916.58</v>
      </c>
      <c r="F63" s="304" t="s">
        <v>99</v>
      </c>
      <c r="G63" s="50" t="s">
        <v>16</v>
      </c>
      <c r="H63" s="23">
        <v>2000</v>
      </c>
      <c r="I63" s="23">
        <v>2000</v>
      </c>
      <c r="J63" s="23">
        <v>11272</v>
      </c>
      <c r="K63" s="23">
        <v>11272</v>
      </c>
      <c r="L63" s="23">
        <v>11272</v>
      </c>
      <c r="M63" s="23">
        <v>11272</v>
      </c>
      <c r="N63" s="23">
        <v>11272</v>
      </c>
      <c r="O63" s="23">
        <v>11272</v>
      </c>
      <c r="P63" s="23">
        <v>11272</v>
      </c>
      <c r="Q63" s="23">
        <v>11272</v>
      </c>
      <c r="R63" s="23">
        <f>11272</f>
        <v>11272</v>
      </c>
      <c r="S63" s="23">
        <v>11272</v>
      </c>
      <c r="T63" s="52">
        <v>11272</v>
      </c>
      <c r="U63" s="52">
        <v>11272</v>
      </c>
      <c r="V63" s="53">
        <v>8452.58</v>
      </c>
      <c r="W63" s="25">
        <f t="shared" si="1"/>
        <v>147716.58</v>
      </c>
    </row>
    <row r="64" spans="1:23" s="26" customFormat="1" ht="15" customHeight="1">
      <c r="A64" s="247"/>
      <c r="B64" s="27" t="s">
        <v>100</v>
      </c>
      <c r="C64" s="307"/>
      <c r="D64" s="307"/>
      <c r="E64" s="309"/>
      <c r="F64" s="305"/>
      <c r="G64" s="51">
        <v>0.03117</v>
      </c>
      <c r="H64" s="28">
        <v>6745</v>
      </c>
      <c r="I64" s="28">
        <v>7375</v>
      </c>
      <c r="J64" s="28">
        <v>7175</v>
      </c>
      <c r="K64" s="28">
        <v>5305</v>
      </c>
      <c r="L64" s="28">
        <v>4860</v>
      </c>
      <c r="M64" s="28">
        <v>4390</v>
      </c>
      <c r="N64" s="28">
        <v>3930</v>
      </c>
      <c r="O64" s="28">
        <v>3475</v>
      </c>
      <c r="P64" s="28">
        <v>3025</v>
      </c>
      <c r="Q64" s="28">
        <v>2560</v>
      </c>
      <c r="R64" s="28">
        <v>2105</v>
      </c>
      <c r="S64" s="28">
        <v>1645</v>
      </c>
      <c r="T64" s="28">
        <v>1190</v>
      </c>
      <c r="U64" s="28">
        <v>730</v>
      </c>
      <c r="V64" s="29">
        <v>275</v>
      </c>
      <c r="W64" s="30">
        <f t="shared" si="1"/>
        <v>54785</v>
      </c>
    </row>
    <row r="65" spans="1:23" s="26" customFormat="1" ht="12.75" customHeight="1">
      <c r="A65" s="246">
        <v>30</v>
      </c>
      <c r="B65" s="22" t="s">
        <v>13</v>
      </c>
      <c r="C65" s="306" t="s">
        <v>101</v>
      </c>
      <c r="D65" s="306">
        <v>660</v>
      </c>
      <c r="E65" s="308">
        <f>2825528-170000-458838.25</f>
        <v>2196689.75</v>
      </c>
      <c r="F65" s="304" t="s">
        <v>102</v>
      </c>
      <c r="G65" s="50" t="s">
        <v>16</v>
      </c>
      <c r="H65" s="45">
        <v>5000</v>
      </c>
      <c r="I65" s="45">
        <v>5000</v>
      </c>
      <c r="J65" s="45">
        <v>10000</v>
      </c>
      <c r="K65" s="45">
        <v>15000</v>
      </c>
      <c r="L65" s="46">
        <v>92432</v>
      </c>
      <c r="M65" s="46">
        <v>92432</v>
      </c>
      <c r="N65" s="46">
        <v>92432</v>
      </c>
      <c r="O65" s="46">
        <v>92432</v>
      </c>
      <c r="P65" s="46">
        <v>92432</v>
      </c>
      <c r="Q65" s="46">
        <v>92432</v>
      </c>
      <c r="R65" s="46">
        <v>92432</v>
      </c>
      <c r="S65" s="46">
        <v>92432</v>
      </c>
      <c r="T65" s="46">
        <v>92432</v>
      </c>
      <c r="U65" s="46">
        <v>92432</v>
      </c>
      <c r="V65" s="47">
        <v>1039888</v>
      </c>
      <c r="W65" s="25">
        <f t="shared" si="1"/>
        <v>1999208</v>
      </c>
    </row>
    <row r="66" spans="1:23" s="26" customFormat="1" ht="12.75">
      <c r="A66" s="247"/>
      <c r="B66" s="27" t="s">
        <v>103</v>
      </c>
      <c r="C66" s="307"/>
      <c r="D66" s="307"/>
      <c r="E66" s="309"/>
      <c r="F66" s="305"/>
      <c r="G66" s="51">
        <v>0.03818</v>
      </c>
      <c r="H66" s="48">
        <v>89575</v>
      </c>
      <c r="I66" s="48">
        <v>101060</v>
      </c>
      <c r="J66" s="48">
        <v>100750</v>
      </c>
      <c r="K66" s="48">
        <v>90175</v>
      </c>
      <c r="L66" s="48">
        <v>79130</v>
      </c>
      <c r="M66" s="48">
        <v>75335</v>
      </c>
      <c r="N66" s="48">
        <v>71585</v>
      </c>
      <c r="O66" s="48">
        <v>67840</v>
      </c>
      <c r="P66" s="48">
        <v>64265</v>
      </c>
      <c r="Q66" s="48">
        <v>60340</v>
      </c>
      <c r="R66" s="48">
        <v>56590</v>
      </c>
      <c r="S66" s="48">
        <v>52845</v>
      </c>
      <c r="T66" s="48">
        <v>49230</v>
      </c>
      <c r="U66" s="48">
        <v>45345</v>
      </c>
      <c r="V66" s="49">
        <v>252190</v>
      </c>
      <c r="W66" s="30">
        <f t="shared" si="1"/>
        <v>1256255</v>
      </c>
    </row>
    <row r="67" spans="1:23" s="26" customFormat="1" ht="12.75" customHeight="1">
      <c r="A67" s="246">
        <v>31</v>
      </c>
      <c r="B67" s="22" t="s">
        <v>13</v>
      </c>
      <c r="C67" s="306" t="s">
        <v>104</v>
      </c>
      <c r="D67" s="306">
        <v>661</v>
      </c>
      <c r="E67" s="308">
        <v>1946578</v>
      </c>
      <c r="F67" s="304" t="s">
        <v>105</v>
      </c>
      <c r="G67" s="50" t="s">
        <v>16</v>
      </c>
      <c r="H67" s="23">
        <v>5000</v>
      </c>
      <c r="I67" s="23">
        <v>5000</v>
      </c>
      <c r="J67" s="23">
        <v>10000</v>
      </c>
      <c r="K67" s="23">
        <v>15000</v>
      </c>
      <c r="L67" s="23">
        <v>73732</v>
      </c>
      <c r="M67" s="23">
        <v>73732</v>
      </c>
      <c r="N67" s="23">
        <v>73732</v>
      </c>
      <c r="O67" s="23">
        <v>73732</v>
      </c>
      <c r="P67" s="23">
        <v>73732</v>
      </c>
      <c r="Q67" s="23">
        <v>73732</v>
      </c>
      <c r="R67" s="23">
        <v>73732</v>
      </c>
      <c r="S67" s="23">
        <v>73732</v>
      </c>
      <c r="T67" s="52">
        <v>73732</v>
      </c>
      <c r="U67" s="52">
        <v>73732</v>
      </c>
      <c r="V67" s="53">
        <v>829512</v>
      </c>
      <c r="W67" s="25">
        <f t="shared" si="1"/>
        <v>1601832</v>
      </c>
    </row>
    <row r="68" spans="1:23" s="26" customFormat="1" ht="12.75">
      <c r="A68" s="247"/>
      <c r="B68" s="27" t="s">
        <v>106</v>
      </c>
      <c r="C68" s="307"/>
      <c r="D68" s="307"/>
      <c r="E68" s="309"/>
      <c r="F68" s="305"/>
      <c r="G68" s="51">
        <v>0.04108</v>
      </c>
      <c r="H68" s="28">
        <f>74125</f>
        <v>74125</v>
      </c>
      <c r="I68" s="28">
        <v>80915</v>
      </c>
      <c r="J68" s="28">
        <v>80605</v>
      </c>
      <c r="K68" s="28">
        <v>72050</v>
      </c>
      <c r="L68" s="28">
        <v>63125</v>
      </c>
      <c r="M68" s="28">
        <v>60095</v>
      </c>
      <c r="N68" s="28">
        <v>57105</v>
      </c>
      <c r="O68" s="28">
        <v>54115</v>
      </c>
      <c r="P68" s="28">
        <v>51265</v>
      </c>
      <c r="Q68" s="28">
        <v>48135</v>
      </c>
      <c r="R68" s="28">
        <v>45145</v>
      </c>
      <c r="S68" s="28">
        <v>42155</v>
      </c>
      <c r="T68" s="28">
        <v>39270</v>
      </c>
      <c r="U68" s="28">
        <v>36175</v>
      </c>
      <c r="V68" s="29">
        <v>201170</v>
      </c>
      <c r="W68" s="30">
        <f t="shared" si="1"/>
        <v>1005450</v>
      </c>
    </row>
    <row r="69" spans="1:23" s="26" customFormat="1" ht="17.25" customHeight="1">
      <c r="A69" s="246">
        <v>32</v>
      </c>
      <c r="B69" s="22" t="s">
        <v>13</v>
      </c>
      <c r="C69" s="306" t="s">
        <v>107</v>
      </c>
      <c r="D69" s="306">
        <v>662</v>
      </c>
      <c r="E69" s="308">
        <f>2100900-400000-20542</f>
        <v>1680358</v>
      </c>
      <c r="F69" s="304" t="s">
        <v>108</v>
      </c>
      <c r="G69" s="50" t="s">
        <v>16</v>
      </c>
      <c r="H69" s="23">
        <v>10000</v>
      </c>
      <c r="I69" s="23">
        <v>20000</v>
      </c>
      <c r="J69" s="23">
        <v>43956</v>
      </c>
      <c r="K69" s="23">
        <v>43956</v>
      </c>
      <c r="L69" s="23">
        <v>43956</v>
      </c>
      <c r="M69" s="23">
        <v>43956</v>
      </c>
      <c r="N69" s="23">
        <v>43956</v>
      </c>
      <c r="O69" s="23">
        <v>43956</v>
      </c>
      <c r="P69" s="23">
        <v>43956</v>
      </c>
      <c r="Q69" s="23">
        <v>43956</v>
      </c>
      <c r="R69" s="23">
        <v>43956</v>
      </c>
      <c r="S69" s="23">
        <v>43956</v>
      </c>
      <c r="T69" s="23">
        <v>43956</v>
      </c>
      <c r="U69" s="23">
        <v>43956</v>
      </c>
      <c r="V69" s="24">
        <v>494488</v>
      </c>
      <c r="W69" s="25">
        <f t="shared" si="1"/>
        <v>1051960</v>
      </c>
    </row>
    <row r="70" spans="1:23" s="26" customFormat="1" ht="18" customHeight="1">
      <c r="A70" s="247"/>
      <c r="B70" s="56" t="s">
        <v>109</v>
      </c>
      <c r="C70" s="315"/>
      <c r="D70" s="315"/>
      <c r="E70" s="316"/>
      <c r="F70" s="305"/>
      <c r="G70" s="64">
        <v>0.04194</v>
      </c>
      <c r="H70" s="54">
        <v>49075</v>
      </c>
      <c r="I70" s="54">
        <v>52640</v>
      </c>
      <c r="J70" s="54">
        <v>51400</v>
      </c>
      <c r="K70" s="54">
        <v>44355</v>
      </c>
      <c r="L70" s="54">
        <v>37710</v>
      </c>
      <c r="M70" s="54">
        <v>35825</v>
      </c>
      <c r="N70" s="54">
        <v>34045</v>
      </c>
      <c r="O70" s="54">
        <v>32260</v>
      </c>
      <c r="P70" s="54">
        <v>30560</v>
      </c>
      <c r="Q70" s="54">
        <v>28695</v>
      </c>
      <c r="R70" s="54">
        <v>26910</v>
      </c>
      <c r="S70" s="54">
        <v>25130</v>
      </c>
      <c r="T70" s="54">
        <v>23410</v>
      </c>
      <c r="U70" s="54">
        <v>21565</v>
      </c>
      <c r="V70" s="55">
        <v>119910</v>
      </c>
      <c r="W70" s="30">
        <f t="shared" si="1"/>
        <v>613490</v>
      </c>
    </row>
    <row r="71" spans="1:23" s="26" customFormat="1" ht="12.75" customHeight="1">
      <c r="A71" s="246">
        <v>33</v>
      </c>
      <c r="B71" s="22" t="s">
        <v>13</v>
      </c>
      <c r="C71" s="306" t="s">
        <v>110</v>
      </c>
      <c r="D71" s="306">
        <v>663</v>
      </c>
      <c r="E71" s="308">
        <f>10367403-84075.7</f>
        <v>10283327.3</v>
      </c>
      <c r="F71" s="304" t="s">
        <v>111</v>
      </c>
      <c r="G71" s="50" t="s">
        <v>16</v>
      </c>
      <c r="H71" s="23">
        <v>10000</v>
      </c>
      <c r="I71" s="23">
        <v>20000</v>
      </c>
      <c r="J71" s="23">
        <v>28000</v>
      </c>
      <c r="K71" s="23">
        <v>40000</v>
      </c>
      <c r="L71" s="23">
        <v>80000</v>
      </c>
      <c r="M71" s="23">
        <v>200000</v>
      </c>
      <c r="N71" s="23">
        <v>400000</v>
      </c>
      <c r="O71" s="23">
        <v>520348</v>
      </c>
      <c r="P71" s="23">
        <v>520348</v>
      </c>
      <c r="Q71" s="23">
        <v>520348</v>
      </c>
      <c r="R71" s="23">
        <v>520348</v>
      </c>
      <c r="S71" s="23">
        <v>520348</v>
      </c>
      <c r="T71" s="23">
        <v>520348</v>
      </c>
      <c r="U71" s="23">
        <v>520348</v>
      </c>
      <c r="V71" s="24">
        <v>5853891</v>
      </c>
      <c r="W71" s="25">
        <f aca="true" t="shared" si="2" ref="W71:W134">SUM(H71:V71)</f>
        <v>10274327</v>
      </c>
    </row>
    <row r="72" spans="1:23" s="26" customFormat="1" ht="12.75">
      <c r="A72" s="247"/>
      <c r="B72" s="27" t="s">
        <v>112</v>
      </c>
      <c r="C72" s="307"/>
      <c r="D72" s="307"/>
      <c r="E72" s="309"/>
      <c r="F72" s="305"/>
      <c r="G72" s="51">
        <v>0.02473</v>
      </c>
      <c r="H72" s="28">
        <v>475040</v>
      </c>
      <c r="I72" s="28">
        <v>520160</v>
      </c>
      <c r="J72" s="28">
        <v>492950</v>
      </c>
      <c r="K72" s="28">
        <v>414055</v>
      </c>
      <c r="L72" s="28">
        <v>413250</v>
      </c>
      <c r="M72" s="28">
        <v>407945</v>
      </c>
      <c r="N72" s="28">
        <v>398405</v>
      </c>
      <c r="O72" s="28">
        <v>381610</v>
      </c>
      <c r="P72" s="28">
        <v>361775</v>
      </c>
      <c r="Q72" s="28">
        <v>339675</v>
      </c>
      <c r="R72" s="28">
        <v>318570</v>
      </c>
      <c r="S72" s="28">
        <v>297465</v>
      </c>
      <c r="T72" s="28">
        <v>277130</v>
      </c>
      <c r="U72" s="28">
        <v>255260</v>
      </c>
      <c r="V72" s="29">
        <v>1419600</v>
      </c>
      <c r="W72" s="30">
        <f t="shared" si="2"/>
        <v>6772890</v>
      </c>
    </row>
    <row r="73" spans="1:23" s="26" customFormat="1" ht="12.75" customHeight="1">
      <c r="A73" s="246">
        <v>34</v>
      </c>
      <c r="B73" s="22" t="s">
        <v>13</v>
      </c>
      <c r="C73" s="306" t="s">
        <v>113</v>
      </c>
      <c r="D73" s="300">
        <v>665</v>
      </c>
      <c r="E73" s="308">
        <f>158248.54+2664102</f>
        <v>2822350.54</v>
      </c>
      <c r="F73" s="304" t="s">
        <v>111</v>
      </c>
      <c r="G73" s="50" t="s">
        <v>16</v>
      </c>
      <c r="H73" s="23">
        <v>8000</v>
      </c>
      <c r="I73" s="23">
        <v>16000</v>
      </c>
      <c r="J73" s="23">
        <v>32000</v>
      </c>
      <c r="K73" s="23">
        <v>60000</v>
      </c>
      <c r="L73" s="23">
        <v>80000</v>
      </c>
      <c r="M73" s="23">
        <v>93944</v>
      </c>
      <c r="N73" s="23">
        <v>93944</v>
      </c>
      <c r="O73" s="23">
        <v>93944</v>
      </c>
      <c r="P73" s="23">
        <v>93944</v>
      </c>
      <c r="Q73" s="23">
        <v>93944</v>
      </c>
      <c r="R73" s="23">
        <v>93944</v>
      </c>
      <c r="S73" s="23">
        <v>93944</v>
      </c>
      <c r="T73" s="23">
        <v>93944</v>
      </c>
      <c r="U73" s="52">
        <v>93944</v>
      </c>
      <c r="V73" s="53">
        <v>1056870</v>
      </c>
      <c r="W73" s="25">
        <f t="shared" si="2"/>
        <v>2098366</v>
      </c>
    </row>
    <row r="74" spans="1:23" s="26" customFormat="1" ht="12.75">
      <c r="A74" s="247"/>
      <c r="B74" s="27" t="s">
        <v>114</v>
      </c>
      <c r="C74" s="307"/>
      <c r="D74" s="301"/>
      <c r="E74" s="309"/>
      <c r="F74" s="305"/>
      <c r="G74" s="51">
        <v>0.02473</v>
      </c>
      <c r="H74" s="28">
        <v>94295</v>
      </c>
      <c r="I74" s="28">
        <v>95245</v>
      </c>
      <c r="J74" s="28">
        <v>91750</v>
      </c>
      <c r="K74" s="28">
        <v>82395</v>
      </c>
      <c r="L74" s="28">
        <v>80075</v>
      </c>
      <c r="M74" s="28">
        <v>76535</v>
      </c>
      <c r="N74" s="28">
        <v>72755</v>
      </c>
      <c r="O74" s="28">
        <v>68945</v>
      </c>
      <c r="P74" s="28">
        <v>65315</v>
      </c>
      <c r="Q74" s="28">
        <v>61325</v>
      </c>
      <c r="R74" s="28">
        <v>57515</v>
      </c>
      <c r="S74" s="28">
        <v>53705</v>
      </c>
      <c r="T74" s="28">
        <v>50035</v>
      </c>
      <c r="U74" s="28">
        <v>46085</v>
      </c>
      <c r="V74" s="29">
        <v>256300</v>
      </c>
      <c r="W74" s="30">
        <f t="shared" si="2"/>
        <v>1252275</v>
      </c>
    </row>
    <row r="75" spans="1:23" s="26" customFormat="1" ht="12.75" customHeight="1">
      <c r="A75" s="246">
        <v>35</v>
      </c>
      <c r="B75" s="22" t="s">
        <v>13</v>
      </c>
      <c r="C75" s="306" t="s">
        <v>115</v>
      </c>
      <c r="D75" s="306">
        <v>666</v>
      </c>
      <c r="E75" s="308">
        <f>663930-19547.23</f>
        <v>644382.77</v>
      </c>
      <c r="F75" s="312" t="s">
        <v>111</v>
      </c>
      <c r="G75" s="50" t="s">
        <v>16</v>
      </c>
      <c r="H75" s="23">
        <v>10000</v>
      </c>
      <c r="I75" s="23">
        <v>20000</v>
      </c>
      <c r="J75" s="23">
        <v>26040</v>
      </c>
      <c r="K75" s="23">
        <v>26040</v>
      </c>
      <c r="L75" s="23">
        <v>26040</v>
      </c>
      <c r="M75" s="23">
        <v>26040</v>
      </c>
      <c r="N75" s="23">
        <v>26040</v>
      </c>
      <c r="O75" s="23">
        <v>26040</v>
      </c>
      <c r="P75" s="23">
        <v>26040</v>
      </c>
      <c r="Q75" s="23">
        <v>26040</v>
      </c>
      <c r="R75" s="23">
        <v>26040</v>
      </c>
      <c r="S75" s="23">
        <v>26040</v>
      </c>
      <c r="T75" s="23">
        <v>26040</v>
      </c>
      <c r="U75" s="23">
        <v>26040</v>
      </c>
      <c r="V75" s="24">
        <v>292902</v>
      </c>
      <c r="W75" s="25">
        <f t="shared" si="2"/>
        <v>635382</v>
      </c>
    </row>
    <row r="76" spans="1:23" s="26" customFormat="1" ht="12.75">
      <c r="A76" s="247"/>
      <c r="B76" s="27" t="s">
        <v>116</v>
      </c>
      <c r="C76" s="307"/>
      <c r="D76" s="307"/>
      <c r="E76" s="309"/>
      <c r="F76" s="314"/>
      <c r="G76" s="51">
        <v>0.02473</v>
      </c>
      <c r="H76" s="28">
        <v>28490</v>
      </c>
      <c r="I76" s="28">
        <v>28370</v>
      </c>
      <c r="J76" s="28">
        <v>26670</v>
      </c>
      <c r="K76" s="28">
        <v>23335</v>
      </c>
      <c r="L76" s="28">
        <v>22340</v>
      </c>
      <c r="M76" s="28">
        <v>21225</v>
      </c>
      <c r="N76" s="28">
        <v>20165</v>
      </c>
      <c r="O76" s="28">
        <v>19110</v>
      </c>
      <c r="P76" s="28">
        <v>18105</v>
      </c>
      <c r="Q76" s="28">
        <v>17000</v>
      </c>
      <c r="R76" s="28">
        <v>15945</v>
      </c>
      <c r="S76" s="28">
        <v>14885</v>
      </c>
      <c r="T76" s="28">
        <v>13870</v>
      </c>
      <c r="U76" s="28">
        <v>12775</v>
      </c>
      <c r="V76" s="29">
        <v>71020</v>
      </c>
      <c r="W76" s="30">
        <f t="shared" si="2"/>
        <v>353305</v>
      </c>
    </row>
    <row r="77" spans="1:23" s="26" customFormat="1" ht="12.75" customHeight="1">
      <c r="A77" s="246">
        <v>36</v>
      </c>
      <c r="B77" s="22" t="s">
        <v>13</v>
      </c>
      <c r="C77" s="306" t="s">
        <v>117</v>
      </c>
      <c r="D77" s="306">
        <v>668</v>
      </c>
      <c r="E77" s="308">
        <v>352110</v>
      </c>
      <c r="F77" s="312" t="s">
        <v>118</v>
      </c>
      <c r="G77" s="65" t="s">
        <v>16</v>
      </c>
      <c r="H77" s="23">
        <v>20416</v>
      </c>
      <c r="I77" s="23">
        <v>20416</v>
      </c>
      <c r="J77" s="23">
        <v>20416</v>
      </c>
      <c r="K77" s="23">
        <v>20416</v>
      </c>
      <c r="L77" s="23">
        <v>20416</v>
      </c>
      <c r="M77" s="23">
        <v>20416</v>
      </c>
      <c r="N77" s="23">
        <v>20416</v>
      </c>
      <c r="O77" s="23">
        <v>20416</v>
      </c>
      <c r="P77" s="23">
        <v>20416</v>
      </c>
      <c r="Q77" s="23">
        <v>20416</v>
      </c>
      <c r="R77" s="23">
        <v>20416</v>
      </c>
      <c r="S77" s="23">
        <v>20416</v>
      </c>
      <c r="T77" s="23">
        <v>20416</v>
      </c>
      <c r="U77" s="23">
        <v>20416</v>
      </c>
      <c r="V77" s="24">
        <v>56144</v>
      </c>
      <c r="W77" s="25">
        <f t="shared" si="2"/>
        <v>341968</v>
      </c>
    </row>
    <row r="78" spans="1:23" s="26" customFormat="1" ht="12.75">
      <c r="A78" s="247"/>
      <c r="B78" s="27" t="s">
        <v>119</v>
      </c>
      <c r="C78" s="307"/>
      <c r="D78" s="307"/>
      <c r="E78" s="309"/>
      <c r="F78" s="314"/>
      <c r="G78" s="51">
        <v>0.0475</v>
      </c>
      <c r="H78" s="28">
        <v>16575</v>
      </c>
      <c r="I78" s="28">
        <v>16145</v>
      </c>
      <c r="J78" s="28">
        <v>14365</v>
      </c>
      <c r="K78" s="28">
        <v>11260</v>
      </c>
      <c r="L78" s="28">
        <v>10460</v>
      </c>
      <c r="M78" s="28">
        <v>9605</v>
      </c>
      <c r="N78" s="28">
        <v>8775</v>
      </c>
      <c r="O78" s="28">
        <v>7950</v>
      </c>
      <c r="P78" s="28">
        <v>7140</v>
      </c>
      <c r="Q78" s="28">
        <v>6290</v>
      </c>
      <c r="R78" s="28">
        <v>5465</v>
      </c>
      <c r="S78" s="28">
        <v>4635</v>
      </c>
      <c r="T78" s="28">
        <v>3820</v>
      </c>
      <c r="U78" s="28">
        <v>2980</v>
      </c>
      <c r="V78" s="29">
        <v>3970</v>
      </c>
      <c r="W78" s="30">
        <f t="shared" si="2"/>
        <v>129435</v>
      </c>
    </row>
    <row r="79" spans="1:23" s="66" customFormat="1" ht="11.25" customHeight="1">
      <c r="A79" s="246">
        <v>37</v>
      </c>
      <c r="B79" s="22" t="s">
        <v>13</v>
      </c>
      <c r="C79" s="306" t="s">
        <v>120</v>
      </c>
      <c r="D79" s="306">
        <v>669</v>
      </c>
      <c r="E79" s="308">
        <v>403410</v>
      </c>
      <c r="F79" s="312" t="s">
        <v>118</v>
      </c>
      <c r="G79" s="50" t="s">
        <v>16</v>
      </c>
      <c r="H79" s="23">
        <v>23388</v>
      </c>
      <c r="I79" s="23">
        <v>23388</v>
      </c>
      <c r="J79" s="23">
        <v>23388</v>
      </c>
      <c r="K79" s="23">
        <v>23388</v>
      </c>
      <c r="L79" s="23">
        <v>23388</v>
      </c>
      <c r="M79" s="23">
        <v>23388</v>
      </c>
      <c r="N79" s="23">
        <v>23388</v>
      </c>
      <c r="O79" s="23">
        <v>23388</v>
      </c>
      <c r="P79" s="23">
        <v>23388</v>
      </c>
      <c r="Q79" s="23">
        <v>23388</v>
      </c>
      <c r="R79" s="23">
        <v>23388</v>
      </c>
      <c r="S79" s="23">
        <v>23388</v>
      </c>
      <c r="T79" s="23">
        <v>23388</v>
      </c>
      <c r="U79" s="23">
        <v>23388</v>
      </c>
      <c r="V79" s="24">
        <v>64317</v>
      </c>
      <c r="W79" s="25">
        <f t="shared" si="2"/>
        <v>391749</v>
      </c>
    </row>
    <row r="80" spans="1:23" s="66" customFormat="1" ht="11.25">
      <c r="A80" s="247"/>
      <c r="B80" s="27" t="s">
        <v>121</v>
      </c>
      <c r="C80" s="307"/>
      <c r="D80" s="307"/>
      <c r="E80" s="309"/>
      <c r="F80" s="314"/>
      <c r="G80" s="51">
        <v>0.0475</v>
      </c>
      <c r="H80" s="28">
        <v>18985</v>
      </c>
      <c r="I80" s="28">
        <v>18495</v>
      </c>
      <c r="J80" s="28">
        <v>16460</v>
      </c>
      <c r="K80" s="28">
        <v>12900</v>
      </c>
      <c r="L80" s="28">
        <v>11985</v>
      </c>
      <c r="M80" s="28">
        <v>11000</v>
      </c>
      <c r="N80" s="28">
        <v>10055</v>
      </c>
      <c r="O80" s="28">
        <v>9105</v>
      </c>
      <c r="P80" s="28">
        <v>8180</v>
      </c>
      <c r="Q80" s="28">
        <v>7205</v>
      </c>
      <c r="R80" s="28">
        <v>6260</v>
      </c>
      <c r="S80" s="28">
        <v>5310</v>
      </c>
      <c r="T80" s="28">
        <v>4375</v>
      </c>
      <c r="U80" s="28">
        <v>3415</v>
      </c>
      <c r="V80" s="29">
        <v>4545</v>
      </c>
      <c r="W80" s="30">
        <f t="shared" si="2"/>
        <v>148275</v>
      </c>
    </row>
    <row r="81" spans="1:23" s="66" customFormat="1" ht="11.25" customHeight="1">
      <c r="A81" s="246">
        <v>38</v>
      </c>
      <c r="B81" s="22" t="s">
        <v>13</v>
      </c>
      <c r="C81" s="306" t="s">
        <v>122</v>
      </c>
      <c r="D81" s="306">
        <v>670</v>
      </c>
      <c r="E81" s="308">
        <f>848543-24.81</f>
        <v>848518.19</v>
      </c>
      <c r="F81" s="312" t="s">
        <v>123</v>
      </c>
      <c r="G81" s="50" t="s">
        <v>16</v>
      </c>
      <c r="H81" s="23">
        <v>2000</v>
      </c>
      <c r="I81" s="23">
        <v>4000</v>
      </c>
      <c r="J81" s="23">
        <v>8000</v>
      </c>
      <c r="K81" s="23">
        <v>20000</v>
      </c>
      <c r="L81" s="23">
        <f aca="true" t="shared" si="3" ref="L81:S81">36180-14188</f>
        <v>21992</v>
      </c>
      <c r="M81" s="23">
        <f t="shared" si="3"/>
        <v>21992</v>
      </c>
      <c r="N81" s="23">
        <f t="shared" si="3"/>
        <v>21992</v>
      </c>
      <c r="O81" s="23">
        <f t="shared" si="3"/>
        <v>21992</v>
      </c>
      <c r="P81" s="23">
        <f t="shared" si="3"/>
        <v>21992</v>
      </c>
      <c r="Q81" s="23">
        <f t="shared" si="3"/>
        <v>21992</v>
      </c>
      <c r="R81" s="23">
        <f t="shared" si="3"/>
        <v>21992</v>
      </c>
      <c r="S81" s="23">
        <f t="shared" si="3"/>
        <v>21992</v>
      </c>
      <c r="T81" s="52">
        <v>21992</v>
      </c>
      <c r="U81" s="52">
        <v>21992</v>
      </c>
      <c r="V81" s="53">
        <v>274874</v>
      </c>
      <c r="W81" s="25">
        <f t="shared" si="2"/>
        <v>528794</v>
      </c>
    </row>
    <row r="82" spans="1:23" s="66" customFormat="1" ht="11.25">
      <c r="A82" s="247"/>
      <c r="B82" s="27" t="s">
        <v>124</v>
      </c>
      <c r="C82" s="307"/>
      <c r="D82" s="307"/>
      <c r="E82" s="309"/>
      <c r="F82" s="314"/>
      <c r="G82" s="51">
        <v>0.05024</v>
      </c>
      <c r="H82" s="28">
        <v>27095</v>
      </c>
      <c r="I82" s="28">
        <v>26670</v>
      </c>
      <c r="J82" s="28">
        <v>25105</v>
      </c>
      <c r="K82" s="28">
        <v>20730</v>
      </c>
      <c r="L82" s="28">
        <v>19980</v>
      </c>
      <c r="M82" s="28">
        <v>19040</v>
      </c>
      <c r="N82" s="28">
        <v>18150</v>
      </c>
      <c r="O82" s="28">
        <v>17255</v>
      </c>
      <c r="P82" s="28">
        <v>16410</v>
      </c>
      <c r="Q82" s="28">
        <v>15470</v>
      </c>
      <c r="R82" s="28">
        <v>14580</v>
      </c>
      <c r="S82" s="28">
        <v>13690</v>
      </c>
      <c r="T82" s="28">
        <v>12830</v>
      </c>
      <c r="U82" s="28">
        <v>11905</v>
      </c>
      <c r="V82" s="29">
        <v>73615</v>
      </c>
      <c r="W82" s="30">
        <f t="shared" si="2"/>
        <v>332525</v>
      </c>
    </row>
    <row r="83" spans="1:23" s="66" customFormat="1" ht="11.25" customHeight="1">
      <c r="A83" s="246">
        <v>39</v>
      </c>
      <c r="B83" s="22" t="s">
        <v>13</v>
      </c>
      <c r="C83" s="306" t="s">
        <v>125</v>
      </c>
      <c r="D83" s="306">
        <v>671</v>
      </c>
      <c r="E83" s="308">
        <f>1698600+205400</f>
        <v>1904000</v>
      </c>
      <c r="F83" s="312" t="s">
        <v>126</v>
      </c>
      <c r="G83" s="50" t="s">
        <v>16</v>
      </c>
      <c r="H83" s="23">
        <v>6000</v>
      </c>
      <c r="I83" s="23">
        <v>10000</v>
      </c>
      <c r="J83" s="23">
        <v>20000</v>
      </c>
      <c r="K83" s="23">
        <v>40000</v>
      </c>
      <c r="L83" s="23">
        <v>60000</v>
      </c>
      <c r="M83" s="23">
        <v>82140</v>
      </c>
      <c r="N83" s="23">
        <v>82140</v>
      </c>
      <c r="O83" s="23">
        <v>82140</v>
      </c>
      <c r="P83" s="23">
        <v>82140</v>
      </c>
      <c r="Q83" s="23">
        <v>82140</v>
      </c>
      <c r="R83" s="23">
        <v>82140</v>
      </c>
      <c r="S83" s="23">
        <v>82140</v>
      </c>
      <c r="T83" s="23">
        <v>82140</v>
      </c>
      <c r="U83" s="23">
        <v>82140</v>
      </c>
      <c r="V83" s="24">
        <v>1026740</v>
      </c>
      <c r="W83" s="25">
        <f t="shared" si="2"/>
        <v>1902000</v>
      </c>
    </row>
    <row r="84" spans="1:23" s="66" customFormat="1" ht="11.25">
      <c r="A84" s="247"/>
      <c r="B84" s="27" t="s">
        <v>127</v>
      </c>
      <c r="C84" s="307"/>
      <c r="D84" s="307"/>
      <c r="E84" s="309"/>
      <c r="F84" s="314"/>
      <c r="G84" s="51">
        <v>0.05143</v>
      </c>
      <c r="H84" s="28">
        <v>99310</v>
      </c>
      <c r="I84" s="28">
        <v>96030</v>
      </c>
      <c r="J84" s="28">
        <v>95430</v>
      </c>
      <c r="K84" s="28">
        <v>75385</v>
      </c>
      <c r="L84" s="28">
        <v>73840</v>
      </c>
      <c r="M84" s="28">
        <v>71060</v>
      </c>
      <c r="N84" s="28">
        <v>67780</v>
      </c>
      <c r="O84" s="28">
        <v>64450</v>
      </c>
      <c r="P84" s="28">
        <v>61285</v>
      </c>
      <c r="Q84" s="28">
        <v>57785</v>
      </c>
      <c r="R84" s="28">
        <v>54455</v>
      </c>
      <c r="S84" s="28">
        <v>51120</v>
      </c>
      <c r="T84" s="28">
        <v>47925</v>
      </c>
      <c r="U84" s="28">
        <v>44460</v>
      </c>
      <c r="V84" s="29">
        <v>274990</v>
      </c>
      <c r="W84" s="30">
        <f t="shared" si="2"/>
        <v>1235305</v>
      </c>
    </row>
    <row r="85" spans="1:23" s="66" customFormat="1" ht="11.25" customHeight="1">
      <c r="A85" s="246">
        <v>40</v>
      </c>
      <c r="B85" s="22" t="s">
        <v>13</v>
      </c>
      <c r="C85" s="306" t="s">
        <v>128</v>
      </c>
      <c r="D85" s="306">
        <v>672</v>
      </c>
      <c r="E85" s="308">
        <f>142175-5157.95</f>
        <v>137017.05</v>
      </c>
      <c r="F85" s="312" t="s">
        <v>129</v>
      </c>
      <c r="G85" s="65" t="s">
        <v>16</v>
      </c>
      <c r="H85" s="23">
        <v>7944</v>
      </c>
      <c r="I85" s="23">
        <v>7944</v>
      </c>
      <c r="J85" s="23">
        <v>7944</v>
      </c>
      <c r="K85" s="23">
        <v>7944</v>
      </c>
      <c r="L85" s="23">
        <v>7944</v>
      </c>
      <c r="M85" s="23">
        <v>7944</v>
      </c>
      <c r="N85" s="23">
        <v>7944</v>
      </c>
      <c r="O85" s="23">
        <v>7944</v>
      </c>
      <c r="P85" s="23">
        <v>7944</v>
      </c>
      <c r="Q85" s="23">
        <v>7944</v>
      </c>
      <c r="R85" s="23">
        <v>7944</v>
      </c>
      <c r="S85" s="23">
        <v>7944</v>
      </c>
      <c r="T85" s="23">
        <v>7944</v>
      </c>
      <c r="U85" s="23">
        <v>7944</v>
      </c>
      <c r="V85" s="24">
        <v>21846</v>
      </c>
      <c r="W85" s="25">
        <f t="shared" si="2"/>
        <v>133062</v>
      </c>
    </row>
    <row r="86" spans="1:23" s="66" customFormat="1" ht="11.25">
      <c r="A86" s="247"/>
      <c r="B86" s="27" t="s">
        <v>130</v>
      </c>
      <c r="C86" s="307"/>
      <c r="D86" s="307"/>
      <c r="E86" s="309"/>
      <c r="F86" s="314"/>
      <c r="G86" s="51">
        <v>0.04915</v>
      </c>
      <c r="H86" s="28">
        <v>6585</v>
      </c>
      <c r="I86" s="28">
        <v>6285</v>
      </c>
      <c r="J86" s="28">
        <v>5880</v>
      </c>
      <c r="K86" s="28">
        <v>4385</v>
      </c>
      <c r="L86" s="28">
        <v>4070</v>
      </c>
      <c r="M86" s="28">
        <v>3740</v>
      </c>
      <c r="N86" s="28">
        <v>3415</v>
      </c>
      <c r="O86" s="28">
        <v>3095</v>
      </c>
      <c r="P86" s="28">
        <v>2780</v>
      </c>
      <c r="Q86" s="28">
        <v>2450</v>
      </c>
      <c r="R86" s="28">
        <v>2125</v>
      </c>
      <c r="S86" s="28">
        <v>1805</v>
      </c>
      <c r="T86" s="28">
        <v>1485</v>
      </c>
      <c r="U86" s="28">
        <v>1160</v>
      </c>
      <c r="V86" s="29">
        <v>1545</v>
      </c>
      <c r="W86" s="30">
        <f t="shared" si="2"/>
        <v>50805</v>
      </c>
    </row>
    <row r="87" spans="1:23" s="66" customFormat="1" ht="11.25" customHeight="1">
      <c r="A87" s="246">
        <v>41</v>
      </c>
      <c r="B87" s="22" t="s">
        <v>13</v>
      </c>
      <c r="C87" s="306" t="s">
        <v>131</v>
      </c>
      <c r="D87" s="306">
        <v>673</v>
      </c>
      <c r="E87" s="308">
        <f>625075-48519.44</f>
        <v>576555.56</v>
      </c>
      <c r="F87" s="312" t="s">
        <v>132</v>
      </c>
      <c r="G87" s="50" t="s">
        <v>16</v>
      </c>
      <c r="H87" s="23">
        <v>6000</v>
      </c>
      <c r="I87" s="23">
        <v>10000</v>
      </c>
      <c r="J87" s="23">
        <v>20000</v>
      </c>
      <c r="K87" s="23">
        <v>39892</v>
      </c>
      <c r="L87" s="23">
        <v>39892</v>
      </c>
      <c r="M87" s="23">
        <v>39892</v>
      </c>
      <c r="N87" s="23">
        <v>39892</v>
      </c>
      <c r="O87" s="23">
        <v>39892</v>
      </c>
      <c r="P87" s="23">
        <v>39892</v>
      </c>
      <c r="Q87" s="23">
        <v>39892</v>
      </c>
      <c r="R87" s="23">
        <v>39892</v>
      </c>
      <c r="S87" s="23">
        <v>39892</v>
      </c>
      <c r="T87" s="23">
        <v>39892</v>
      </c>
      <c r="U87" s="23">
        <v>39892</v>
      </c>
      <c r="V87" s="24">
        <v>99743</v>
      </c>
      <c r="W87" s="25">
        <f t="shared" si="2"/>
        <v>574555</v>
      </c>
    </row>
    <row r="88" spans="1:23" s="66" customFormat="1" ht="11.25">
      <c r="A88" s="247"/>
      <c r="B88" s="27" t="s">
        <v>133</v>
      </c>
      <c r="C88" s="307"/>
      <c r="D88" s="307"/>
      <c r="E88" s="309"/>
      <c r="F88" s="314"/>
      <c r="G88" s="51">
        <v>0.04915</v>
      </c>
      <c r="H88" s="28">
        <v>28635</v>
      </c>
      <c r="I88" s="28">
        <v>28735</v>
      </c>
      <c r="J88" s="28">
        <v>28135</v>
      </c>
      <c r="K88" s="28">
        <v>21550</v>
      </c>
      <c r="L88" s="28">
        <v>20030</v>
      </c>
      <c r="M88" s="28">
        <v>18360</v>
      </c>
      <c r="N88" s="28">
        <v>16740</v>
      </c>
      <c r="O88" s="28">
        <v>15125</v>
      </c>
      <c r="P88" s="28">
        <v>13545</v>
      </c>
      <c r="Q88" s="28">
        <v>11890</v>
      </c>
      <c r="R88" s="28">
        <v>10270</v>
      </c>
      <c r="S88" s="28">
        <v>8650</v>
      </c>
      <c r="T88" s="28">
        <v>7055</v>
      </c>
      <c r="U88" s="28">
        <v>5415</v>
      </c>
      <c r="V88" s="29">
        <v>6550</v>
      </c>
      <c r="W88" s="30">
        <f t="shared" si="2"/>
        <v>240685</v>
      </c>
    </row>
    <row r="89" spans="1:23" s="66" customFormat="1" ht="11.25" customHeight="1">
      <c r="A89" s="246">
        <v>42</v>
      </c>
      <c r="B89" s="22" t="s">
        <v>13</v>
      </c>
      <c r="C89" s="306" t="s">
        <v>134</v>
      </c>
      <c r="D89" s="306">
        <v>675</v>
      </c>
      <c r="E89" s="308">
        <f>223252-340</f>
        <v>222912</v>
      </c>
      <c r="F89" s="304" t="s">
        <v>135</v>
      </c>
      <c r="G89" s="50" t="s">
        <v>16</v>
      </c>
      <c r="H89" s="23">
        <v>12924</v>
      </c>
      <c r="I89" s="23">
        <v>12924</v>
      </c>
      <c r="J89" s="23">
        <v>12924</v>
      </c>
      <c r="K89" s="23">
        <v>12924</v>
      </c>
      <c r="L89" s="23">
        <v>12924</v>
      </c>
      <c r="M89" s="23">
        <v>12924</v>
      </c>
      <c r="N89" s="23">
        <v>12924</v>
      </c>
      <c r="O89" s="23">
        <v>12924</v>
      </c>
      <c r="P89" s="23">
        <v>12924</v>
      </c>
      <c r="Q89" s="23">
        <v>12924</v>
      </c>
      <c r="R89" s="23">
        <v>12924</v>
      </c>
      <c r="S89" s="23">
        <v>12924</v>
      </c>
      <c r="T89" s="23">
        <v>12924</v>
      </c>
      <c r="U89" s="23">
        <v>12924</v>
      </c>
      <c r="V89" s="24">
        <v>38772</v>
      </c>
      <c r="W89" s="25">
        <f t="shared" si="2"/>
        <v>219708</v>
      </c>
    </row>
    <row r="90" spans="1:23" s="66" customFormat="1" ht="11.25">
      <c r="A90" s="247"/>
      <c r="B90" s="27" t="s">
        <v>136</v>
      </c>
      <c r="C90" s="307"/>
      <c r="D90" s="307"/>
      <c r="E90" s="309"/>
      <c r="F90" s="305"/>
      <c r="G90" s="51">
        <v>0.04527</v>
      </c>
      <c r="H90" s="28">
        <v>9590</v>
      </c>
      <c r="I90" s="28">
        <v>10385</v>
      </c>
      <c r="J90" s="28">
        <v>9730</v>
      </c>
      <c r="K90" s="28">
        <v>7260</v>
      </c>
      <c r="L90" s="28">
        <v>6755</v>
      </c>
      <c r="M90" s="28">
        <v>6210</v>
      </c>
      <c r="N90" s="28">
        <v>5685</v>
      </c>
      <c r="O90" s="28">
        <v>5165</v>
      </c>
      <c r="P90" s="28">
        <v>4650</v>
      </c>
      <c r="Q90" s="28">
        <v>4115</v>
      </c>
      <c r="R90" s="28">
        <v>3590</v>
      </c>
      <c r="S90" s="28">
        <v>3065</v>
      </c>
      <c r="T90" s="28">
        <v>2550</v>
      </c>
      <c r="U90" s="28">
        <v>2020</v>
      </c>
      <c r="V90" s="29">
        <v>2935</v>
      </c>
      <c r="W90" s="30">
        <f t="shared" si="2"/>
        <v>83705</v>
      </c>
    </row>
    <row r="91" spans="1:23" s="66" customFormat="1" ht="11.25" customHeight="1">
      <c r="A91" s="246">
        <v>43</v>
      </c>
      <c r="B91" s="22" t="s">
        <v>13</v>
      </c>
      <c r="C91" s="306" t="s">
        <v>34</v>
      </c>
      <c r="D91" s="306">
        <v>676</v>
      </c>
      <c r="E91" s="308">
        <v>4607144</v>
      </c>
      <c r="F91" s="304" t="s">
        <v>137</v>
      </c>
      <c r="G91" s="50" t="s">
        <v>16</v>
      </c>
      <c r="H91" s="23">
        <v>6000</v>
      </c>
      <c r="I91" s="23">
        <v>10000</v>
      </c>
      <c r="J91" s="23">
        <v>20000</v>
      </c>
      <c r="K91" s="23">
        <v>40000</v>
      </c>
      <c r="L91" s="23">
        <v>100000</v>
      </c>
      <c r="M91" s="23">
        <v>199152</v>
      </c>
      <c r="N91" s="23">
        <v>199152</v>
      </c>
      <c r="O91" s="23">
        <v>199152</v>
      </c>
      <c r="P91" s="23">
        <v>199152</v>
      </c>
      <c r="Q91" s="23">
        <v>199152</v>
      </c>
      <c r="R91" s="23">
        <v>199152</v>
      </c>
      <c r="S91" s="23">
        <v>199152</v>
      </c>
      <c r="T91" s="23">
        <v>199152</v>
      </c>
      <c r="U91" s="23">
        <v>199152</v>
      </c>
      <c r="V91" s="24">
        <v>2638776</v>
      </c>
      <c r="W91" s="25">
        <f t="shared" si="2"/>
        <v>4607144</v>
      </c>
    </row>
    <row r="92" spans="1:23" s="66" customFormat="1" ht="11.25">
      <c r="A92" s="247"/>
      <c r="B92" s="27" t="s">
        <v>138</v>
      </c>
      <c r="C92" s="307"/>
      <c r="D92" s="307"/>
      <c r="E92" s="309"/>
      <c r="F92" s="305"/>
      <c r="G92" s="51">
        <v>0.04203</v>
      </c>
      <c r="H92" s="28">
        <v>215490</v>
      </c>
      <c r="I92" s="28">
        <v>233170</v>
      </c>
      <c r="J92" s="28">
        <v>232565</v>
      </c>
      <c r="K92" s="28">
        <v>208210</v>
      </c>
      <c r="L92" s="28">
        <v>183510</v>
      </c>
      <c r="M92" s="28">
        <v>178240</v>
      </c>
      <c r="N92" s="28">
        <v>170390</v>
      </c>
      <c r="O92" s="28">
        <v>162310</v>
      </c>
      <c r="P92" s="28">
        <v>154660</v>
      </c>
      <c r="Q92" s="28">
        <v>146160</v>
      </c>
      <c r="R92" s="28">
        <v>138080</v>
      </c>
      <c r="S92" s="28">
        <v>130005</v>
      </c>
      <c r="T92" s="28">
        <v>122265</v>
      </c>
      <c r="U92" s="28">
        <v>113850</v>
      </c>
      <c r="V92" s="29">
        <v>746935</v>
      </c>
      <c r="W92" s="30">
        <f t="shared" si="2"/>
        <v>3135840</v>
      </c>
    </row>
    <row r="93" spans="1:23" s="66" customFormat="1" ht="11.25" customHeight="1">
      <c r="A93" s="246">
        <v>44</v>
      </c>
      <c r="B93" s="22" t="s">
        <v>13</v>
      </c>
      <c r="C93" s="306" t="s">
        <v>139</v>
      </c>
      <c r="D93" s="306">
        <v>678</v>
      </c>
      <c r="E93" s="308">
        <f>1073828+53126-7158.22</f>
        <v>1119795.78</v>
      </c>
      <c r="F93" s="304" t="s">
        <v>140</v>
      </c>
      <c r="G93" s="50" t="s">
        <v>16</v>
      </c>
      <c r="H93" s="52">
        <v>5008.21</v>
      </c>
      <c r="I93" s="23">
        <v>10000</v>
      </c>
      <c r="J93" s="23">
        <v>20000</v>
      </c>
      <c r="K93" s="23">
        <v>42268</v>
      </c>
      <c r="L93" s="23">
        <v>42268</v>
      </c>
      <c r="M93" s="23">
        <v>42268</v>
      </c>
      <c r="N93" s="23">
        <v>42268</v>
      </c>
      <c r="O93" s="23">
        <v>42268</v>
      </c>
      <c r="P93" s="23">
        <v>42268</v>
      </c>
      <c r="Q93" s="23">
        <v>42268</v>
      </c>
      <c r="R93" s="23">
        <v>42268</v>
      </c>
      <c r="S93" s="23">
        <v>42268</v>
      </c>
      <c r="T93" s="23">
        <v>42268</v>
      </c>
      <c r="U93" s="23">
        <v>42268</v>
      </c>
      <c r="V93" s="24">
        <v>559959</v>
      </c>
      <c r="W93" s="25">
        <f t="shared" si="2"/>
        <v>1059915.21</v>
      </c>
    </row>
    <row r="94" spans="1:23" s="66" customFormat="1" ht="11.25">
      <c r="A94" s="247"/>
      <c r="B94" s="67" t="s">
        <v>141</v>
      </c>
      <c r="C94" s="307"/>
      <c r="D94" s="307"/>
      <c r="E94" s="309"/>
      <c r="F94" s="305"/>
      <c r="G94" s="51">
        <v>0.04564</v>
      </c>
      <c r="H94" s="28">
        <v>51515</v>
      </c>
      <c r="I94" s="28">
        <v>53395</v>
      </c>
      <c r="J94" s="28">
        <v>52790</v>
      </c>
      <c r="K94" s="28">
        <v>46445</v>
      </c>
      <c r="L94" s="28">
        <v>39700</v>
      </c>
      <c r="M94" s="28">
        <v>37875</v>
      </c>
      <c r="N94" s="28">
        <v>36160</v>
      </c>
      <c r="O94" s="28">
        <v>34445</v>
      </c>
      <c r="P94" s="28">
        <v>32825</v>
      </c>
      <c r="Q94" s="28">
        <v>31020</v>
      </c>
      <c r="R94" s="28">
        <v>29305</v>
      </c>
      <c r="S94" s="28">
        <v>27590</v>
      </c>
      <c r="T94" s="28">
        <v>25950</v>
      </c>
      <c r="U94" s="28">
        <v>24160</v>
      </c>
      <c r="V94" s="29">
        <v>158480</v>
      </c>
      <c r="W94" s="30">
        <f t="shared" si="2"/>
        <v>681655</v>
      </c>
    </row>
    <row r="95" spans="1:23" s="66" customFormat="1" ht="11.25" customHeight="1">
      <c r="A95" s="246">
        <v>45</v>
      </c>
      <c r="B95" s="22" t="s">
        <v>13</v>
      </c>
      <c r="C95" s="306" t="s">
        <v>142</v>
      </c>
      <c r="D95" s="306">
        <v>679</v>
      </c>
      <c r="E95" s="308">
        <v>1144390</v>
      </c>
      <c r="F95" s="304" t="s">
        <v>143</v>
      </c>
      <c r="G95" s="50" t="s">
        <v>16</v>
      </c>
      <c r="H95" s="23">
        <v>5000</v>
      </c>
      <c r="I95" s="23">
        <v>10000</v>
      </c>
      <c r="J95" s="23">
        <v>20000</v>
      </c>
      <c r="K95" s="23">
        <v>45280</v>
      </c>
      <c r="L95" s="23">
        <v>45280</v>
      </c>
      <c r="M95" s="23">
        <v>45280</v>
      </c>
      <c r="N95" s="23">
        <v>45280</v>
      </c>
      <c r="O95" s="23">
        <v>45280</v>
      </c>
      <c r="P95" s="23">
        <v>45280</v>
      </c>
      <c r="Q95" s="23">
        <v>45280</v>
      </c>
      <c r="R95" s="23">
        <v>45280</v>
      </c>
      <c r="S95" s="23">
        <v>45280</v>
      </c>
      <c r="T95" s="23">
        <v>45280</v>
      </c>
      <c r="U95" s="23">
        <v>45280</v>
      </c>
      <c r="V95" s="24">
        <v>611310</v>
      </c>
      <c r="W95" s="25">
        <f t="shared" si="2"/>
        <v>1144390</v>
      </c>
    </row>
    <row r="96" spans="1:23" s="66" customFormat="1" ht="11.25">
      <c r="A96" s="247"/>
      <c r="B96" s="27" t="s">
        <v>144</v>
      </c>
      <c r="C96" s="307"/>
      <c r="D96" s="307"/>
      <c r="E96" s="309"/>
      <c r="F96" s="305"/>
      <c r="G96" s="51">
        <v>0.04873</v>
      </c>
      <c r="H96" s="28">
        <v>57065</v>
      </c>
      <c r="I96" s="28">
        <v>57685</v>
      </c>
      <c r="J96" s="28">
        <v>54215</v>
      </c>
      <c r="K96" s="28">
        <v>44655</v>
      </c>
      <c r="L96" s="28">
        <v>42995</v>
      </c>
      <c r="M96" s="28">
        <v>41040</v>
      </c>
      <c r="N96" s="28">
        <v>39200</v>
      </c>
      <c r="O96" s="28">
        <v>37365</v>
      </c>
      <c r="P96" s="28">
        <v>35630</v>
      </c>
      <c r="Q96" s="28">
        <v>33695</v>
      </c>
      <c r="R96" s="28">
        <v>31855</v>
      </c>
      <c r="S96" s="28">
        <v>30020</v>
      </c>
      <c r="T96" s="28">
        <v>28260</v>
      </c>
      <c r="U96" s="28">
        <v>26350</v>
      </c>
      <c r="V96" s="29">
        <v>176145</v>
      </c>
      <c r="W96" s="30">
        <f t="shared" si="2"/>
        <v>736175</v>
      </c>
    </row>
    <row r="97" spans="1:23" s="66" customFormat="1" ht="11.25" customHeight="1">
      <c r="A97" s="246">
        <v>46</v>
      </c>
      <c r="B97" s="22" t="s">
        <v>13</v>
      </c>
      <c r="C97" s="306" t="s">
        <v>69</v>
      </c>
      <c r="D97" s="306">
        <v>680</v>
      </c>
      <c r="E97" s="308">
        <v>147003</v>
      </c>
      <c r="F97" s="304" t="s">
        <v>145</v>
      </c>
      <c r="G97" s="50" t="s">
        <v>16</v>
      </c>
      <c r="H97" s="23">
        <v>7444</v>
      </c>
      <c r="I97" s="23">
        <v>7444</v>
      </c>
      <c r="J97" s="23">
        <v>7444</v>
      </c>
      <c r="K97" s="23">
        <v>7444</v>
      </c>
      <c r="L97" s="23">
        <v>7444</v>
      </c>
      <c r="M97" s="23">
        <v>7444</v>
      </c>
      <c r="N97" s="23">
        <v>7444</v>
      </c>
      <c r="O97" s="23">
        <v>7444</v>
      </c>
      <c r="P97" s="23">
        <v>7444</v>
      </c>
      <c r="Q97" s="23">
        <v>7444</v>
      </c>
      <c r="R97" s="23">
        <v>7444</v>
      </c>
      <c r="S97" s="23">
        <v>7444</v>
      </c>
      <c r="T97" s="23">
        <v>7444</v>
      </c>
      <c r="U97" s="23">
        <v>7444</v>
      </c>
      <c r="V97" s="24">
        <v>27915</v>
      </c>
      <c r="W97" s="25">
        <f t="shared" si="2"/>
        <v>132131</v>
      </c>
    </row>
    <row r="98" spans="1:23" s="66" customFormat="1" ht="11.25">
      <c r="A98" s="247"/>
      <c r="B98" s="27" t="s">
        <v>146</v>
      </c>
      <c r="C98" s="307"/>
      <c r="D98" s="307"/>
      <c r="E98" s="309"/>
      <c r="F98" s="305"/>
      <c r="G98" s="51">
        <v>0.04693</v>
      </c>
      <c r="H98" s="28">
        <v>6350</v>
      </c>
      <c r="I98" s="28">
        <v>6265</v>
      </c>
      <c r="J98" s="28">
        <v>5600</v>
      </c>
      <c r="K98" s="28">
        <v>4410</v>
      </c>
      <c r="L98" s="28">
        <v>4120</v>
      </c>
      <c r="M98" s="28">
        <v>3805</v>
      </c>
      <c r="N98" s="28">
        <v>3505</v>
      </c>
      <c r="O98" s="28">
        <v>3200</v>
      </c>
      <c r="P98" s="28">
        <v>2905</v>
      </c>
      <c r="Q98" s="28">
        <v>2600</v>
      </c>
      <c r="R98" s="28">
        <v>2295</v>
      </c>
      <c r="S98" s="28">
        <v>1995</v>
      </c>
      <c r="T98" s="28">
        <v>1695</v>
      </c>
      <c r="U98" s="28">
        <v>1390</v>
      </c>
      <c r="V98" s="29">
        <v>2535</v>
      </c>
      <c r="W98" s="30">
        <f t="shared" si="2"/>
        <v>52670</v>
      </c>
    </row>
    <row r="99" spans="1:23" s="66" customFormat="1" ht="11.25" customHeight="1">
      <c r="A99" s="246">
        <v>47</v>
      </c>
      <c r="B99" s="68" t="s">
        <v>13</v>
      </c>
      <c r="C99" s="306" t="s">
        <v>147</v>
      </c>
      <c r="D99" s="306">
        <v>681</v>
      </c>
      <c r="E99" s="308">
        <v>106070</v>
      </c>
      <c r="F99" s="304" t="s">
        <v>148</v>
      </c>
      <c r="G99" s="50" t="s">
        <v>16</v>
      </c>
      <c r="H99" s="23">
        <f>3024</f>
        <v>3024</v>
      </c>
      <c r="I99" s="23">
        <v>6152</v>
      </c>
      <c r="J99" s="23">
        <v>6152</v>
      </c>
      <c r="K99" s="23">
        <v>6152</v>
      </c>
      <c r="L99" s="23">
        <v>6152</v>
      </c>
      <c r="M99" s="23">
        <v>6152</v>
      </c>
      <c r="N99" s="23">
        <v>6152</v>
      </c>
      <c r="O99" s="23">
        <v>6152</v>
      </c>
      <c r="P99" s="23">
        <v>6152</v>
      </c>
      <c r="Q99" s="23">
        <v>6152</v>
      </c>
      <c r="R99" s="23">
        <v>6152</v>
      </c>
      <c r="S99" s="23">
        <v>6152</v>
      </c>
      <c r="T99" s="23">
        <v>6152</v>
      </c>
      <c r="U99" s="23">
        <v>6152</v>
      </c>
      <c r="V99" s="24">
        <v>23070</v>
      </c>
      <c r="W99" s="25">
        <f t="shared" si="2"/>
        <v>106070</v>
      </c>
    </row>
    <row r="100" spans="1:23" s="66" customFormat="1" ht="11.25">
      <c r="A100" s="247"/>
      <c r="B100" s="70" t="s">
        <v>149</v>
      </c>
      <c r="C100" s="307"/>
      <c r="D100" s="307"/>
      <c r="E100" s="309"/>
      <c r="F100" s="305"/>
      <c r="G100" s="51">
        <v>0.04645</v>
      </c>
      <c r="H100" s="28">
        <v>5105</v>
      </c>
      <c r="I100" s="28">
        <v>5180</v>
      </c>
      <c r="J100" s="28">
        <v>4625</v>
      </c>
      <c r="K100" s="28">
        <v>3645</v>
      </c>
      <c r="L100" s="28">
        <v>3405</v>
      </c>
      <c r="M100" s="28">
        <v>3145</v>
      </c>
      <c r="N100" s="28">
        <v>2895</v>
      </c>
      <c r="O100" s="28">
        <v>2645</v>
      </c>
      <c r="P100" s="28">
        <v>2405</v>
      </c>
      <c r="Q100" s="28">
        <v>2145</v>
      </c>
      <c r="R100" s="28">
        <v>1900</v>
      </c>
      <c r="S100" s="28">
        <v>1650</v>
      </c>
      <c r="T100" s="28">
        <v>1405</v>
      </c>
      <c r="U100" s="28">
        <v>1150</v>
      </c>
      <c r="V100" s="29">
        <v>2095</v>
      </c>
      <c r="W100" s="30">
        <f t="shared" si="2"/>
        <v>43395</v>
      </c>
    </row>
    <row r="101" spans="1:23" s="66" customFormat="1" ht="11.25" customHeight="1">
      <c r="A101" s="246">
        <v>48</v>
      </c>
      <c r="B101" s="68" t="s">
        <v>13</v>
      </c>
      <c r="C101" s="306" t="s">
        <v>150</v>
      </c>
      <c r="D101" s="306">
        <v>682</v>
      </c>
      <c r="E101" s="308">
        <v>603918</v>
      </c>
      <c r="F101" s="304" t="s">
        <v>148</v>
      </c>
      <c r="G101" s="50" t="s">
        <v>16</v>
      </c>
      <c r="H101" s="23">
        <v>13121</v>
      </c>
      <c r="I101" s="23">
        <v>26264</v>
      </c>
      <c r="J101" s="23">
        <v>26264</v>
      </c>
      <c r="K101" s="23">
        <v>26264</v>
      </c>
      <c r="L101" s="23">
        <v>26264</v>
      </c>
      <c r="M101" s="23">
        <v>26264</v>
      </c>
      <c r="N101" s="23">
        <v>26264</v>
      </c>
      <c r="O101" s="23">
        <v>26264</v>
      </c>
      <c r="P101" s="23">
        <v>26264</v>
      </c>
      <c r="Q101" s="23">
        <v>26264</v>
      </c>
      <c r="R101" s="23">
        <v>26264</v>
      </c>
      <c r="S101" s="23">
        <v>26264</v>
      </c>
      <c r="T101" s="23">
        <v>26264</v>
      </c>
      <c r="U101" s="23">
        <v>26264</v>
      </c>
      <c r="V101" s="24">
        <v>98490</v>
      </c>
      <c r="W101" s="25">
        <f t="shared" si="2"/>
        <v>453043</v>
      </c>
    </row>
    <row r="102" spans="1:23" s="66" customFormat="1" ht="11.25">
      <c r="A102" s="247"/>
      <c r="B102" s="70" t="s">
        <v>151</v>
      </c>
      <c r="C102" s="307"/>
      <c r="D102" s="307"/>
      <c r="E102" s="309"/>
      <c r="F102" s="305"/>
      <c r="G102" s="51">
        <v>0.05245</v>
      </c>
      <c r="H102" s="28">
        <v>24445</v>
      </c>
      <c r="I102" s="28">
        <v>23765</v>
      </c>
      <c r="J102" s="28">
        <v>19745</v>
      </c>
      <c r="K102" s="28">
        <v>15550</v>
      </c>
      <c r="L102" s="28">
        <v>14525</v>
      </c>
      <c r="M102" s="28">
        <v>13420</v>
      </c>
      <c r="N102" s="28">
        <v>12355</v>
      </c>
      <c r="O102" s="28">
        <v>11290</v>
      </c>
      <c r="P102" s="28">
        <v>10250</v>
      </c>
      <c r="Q102" s="28">
        <v>9160</v>
      </c>
      <c r="R102" s="28">
        <v>8095</v>
      </c>
      <c r="S102" s="28">
        <v>7030</v>
      </c>
      <c r="T102" s="28">
        <v>5980</v>
      </c>
      <c r="U102" s="28">
        <v>4900</v>
      </c>
      <c r="V102" s="29">
        <v>8935</v>
      </c>
      <c r="W102" s="30">
        <f t="shared" si="2"/>
        <v>189445</v>
      </c>
    </row>
    <row r="103" spans="1:23" s="66" customFormat="1" ht="11.25" customHeight="1">
      <c r="A103" s="246">
        <v>49</v>
      </c>
      <c r="B103" s="68" t="s">
        <v>13</v>
      </c>
      <c r="C103" s="306" t="s">
        <v>152</v>
      </c>
      <c r="D103" s="306">
        <v>683</v>
      </c>
      <c r="E103" s="308">
        <v>431815</v>
      </c>
      <c r="F103" s="304" t="s">
        <v>148</v>
      </c>
      <c r="G103" s="50" t="s">
        <v>16</v>
      </c>
      <c r="H103" s="23">
        <v>12462</v>
      </c>
      <c r="I103" s="23">
        <v>25036</v>
      </c>
      <c r="J103" s="23">
        <v>25036</v>
      </c>
      <c r="K103" s="23">
        <v>25036</v>
      </c>
      <c r="L103" s="23">
        <v>25036</v>
      </c>
      <c r="M103" s="23">
        <v>25036</v>
      </c>
      <c r="N103" s="23">
        <v>25036</v>
      </c>
      <c r="O103" s="23">
        <v>25036</v>
      </c>
      <c r="P103" s="23">
        <v>25036</v>
      </c>
      <c r="Q103" s="23">
        <v>25036</v>
      </c>
      <c r="R103" s="23">
        <v>25036</v>
      </c>
      <c r="S103" s="23">
        <v>25036</v>
      </c>
      <c r="T103" s="23">
        <v>25036</v>
      </c>
      <c r="U103" s="23">
        <v>25036</v>
      </c>
      <c r="V103" s="24">
        <v>93885</v>
      </c>
      <c r="W103" s="25">
        <f t="shared" si="2"/>
        <v>431815</v>
      </c>
    </row>
    <row r="104" spans="1:23" s="66" customFormat="1" ht="11.25">
      <c r="A104" s="247"/>
      <c r="B104" s="70" t="s">
        <v>153</v>
      </c>
      <c r="C104" s="307"/>
      <c r="D104" s="307"/>
      <c r="E104" s="309"/>
      <c r="F104" s="305"/>
      <c r="G104" s="51">
        <v>0.04645</v>
      </c>
      <c r="H104" s="28">
        <v>20780</v>
      </c>
      <c r="I104" s="28">
        <v>21065</v>
      </c>
      <c r="J104" s="28">
        <v>18825</v>
      </c>
      <c r="K104" s="28">
        <v>14820</v>
      </c>
      <c r="L104" s="28">
        <v>13845</v>
      </c>
      <c r="M104" s="28">
        <v>12790</v>
      </c>
      <c r="N104" s="28">
        <v>11775</v>
      </c>
      <c r="O104" s="28">
        <v>10760</v>
      </c>
      <c r="P104" s="28">
        <v>9770</v>
      </c>
      <c r="Q104" s="28">
        <v>8730</v>
      </c>
      <c r="R104" s="28">
        <v>7715</v>
      </c>
      <c r="S104" s="28">
        <v>6700</v>
      </c>
      <c r="T104" s="28">
        <v>5700</v>
      </c>
      <c r="U104" s="28">
        <v>4670</v>
      </c>
      <c r="V104" s="29">
        <v>8520</v>
      </c>
      <c r="W104" s="30">
        <f t="shared" si="2"/>
        <v>176465</v>
      </c>
    </row>
    <row r="105" spans="1:23" s="66" customFormat="1" ht="15.75" customHeight="1">
      <c r="A105" s="246">
        <v>50</v>
      </c>
      <c r="B105" s="22" t="s">
        <v>13</v>
      </c>
      <c r="C105" s="306" t="s">
        <v>154</v>
      </c>
      <c r="D105" s="306">
        <v>684</v>
      </c>
      <c r="E105" s="308">
        <v>3381381</v>
      </c>
      <c r="F105" s="304" t="s">
        <v>155</v>
      </c>
      <c r="G105" s="50" t="s">
        <v>16</v>
      </c>
      <c r="H105" s="23">
        <v>25013</v>
      </c>
      <c r="I105" s="23">
        <v>60000</v>
      </c>
      <c r="J105" s="23">
        <v>100000</v>
      </c>
      <c r="K105" s="23">
        <v>130464</v>
      </c>
      <c r="L105" s="23">
        <v>130464</v>
      </c>
      <c r="M105" s="23">
        <v>130464</v>
      </c>
      <c r="N105" s="23">
        <v>130464</v>
      </c>
      <c r="O105" s="23">
        <v>130464</v>
      </c>
      <c r="P105" s="23">
        <v>130464</v>
      </c>
      <c r="Q105" s="23">
        <v>130464</v>
      </c>
      <c r="R105" s="23">
        <v>130464</v>
      </c>
      <c r="S105" s="23">
        <v>130464</v>
      </c>
      <c r="T105" s="23">
        <v>130464</v>
      </c>
      <c r="U105" s="52">
        <v>130464</v>
      </c>
      <c r="V105" s="53">
        <v>1745288.14</v>
      </c>
      <c r="W105" s="25">
        <f t="shared" si="2"/>
        <v>3365405.1399999997</v>
      </c>
    </row>
    <row r="106" spans="1:23" s="66" customFormat="1" ht="17.25" customHeight="1">
      <c r="A106" s="247"/>
      <c r="B106" s="27" t="s">
        <v>156</v>
      </c>
      <c r="C106" s="307"/>
      <c r="D106" s="307"/>
      <c r="E106" s="309"/>
      <c r="F106" s="305"/>
      <c r="G106" s="51">
        <v>0.04845</v>
      </c>
      <c r="H106" s="28">
        <v>167085</v>
      </c>
      <c r="I106" s="28">
        <v>168815</v>
      </c>
      <c r="J106" s="28">
        <v>157160</v>
      </c>
      <c r="K106" s="28">
        <v>128100</v>
      </c>
      <c r="L106" s="28">
        <v>123215</v>
      </c>
      <c r="M106" s="28">
        <v>117585</v>
      </c>
      <c r="N106" s="28">
        <v>112295</v>
      </c>
      <c r="O106" s="28">
        <v>107005</v>
      </c>
      <c r="P106" s="28">
        <v>101995</v>
      </c>
      <c r="Q106" s="28">
        <v>96425</v>
      </c>
      <c r="R106" s="28">
        <v>91130</v>
      </c>
      <c r="S106" s="28">
        <v>85840</v>
      </c>
      <c r="T106" s="28">
        <v>80775</v>
      </c>
      <c r="U106" s="28">
        <v>75260</v>
      </c>
      <c r="V106" s="29">
        <v>498575</v>
      </c>
      <c r="W106" s="30">
        <f t="shared" si="2"/>
        <v>2111260</v>
      </c>
    </row>
    <row r="107" spans="1:23" s="66" customFormat="1" ht="11.25" customHeight="1">
      <c r="A107" s="246">
        <v>51</v>
      </c>
      <c r="B107" s="68" t="s">
        <v>13</v>
      </c>
      <c r="C107" s="306" t="s">
        <v>157</v>
      </c>
      <c r="D107" s="306">
        <v>685</v>
      </c>
      <c r="E107" s="308">
        <f>356301+57894-500.88</f>
        <v>413694.12</v>
      </c>
      <c r="F107" s="304" t="s">
        <v>158</v>
      </c>
      <c r="G107" s="50" t="s">
        <v>16</v>
      </c>
      <c r="H107" s="23">
        <v>11962.119999999999</v>
      </c>
      <c r="I107" s="23">
        <v>23984</v>
      </c>
      <c r="J107" s="23">
        <v>23984</v>
      </c>
      <c r="K107" s="23">
        <v>23984</v>
      </c>
      <c r="L107" s="23">
        <v>23984</v>
      </c>
      <c r="M107" s="23">
        <v>23984</v>
      </c>
      <c r="N107" s="23">
        <v>23984</v>
      </c>
      <c r="O107" s="23">
        <v>23984</v>
      </c>
      <c r="P107" s="23">
        <v>23984</v>
      </c>
      <c r="Q107" s="23">
        <v>23984</v>
      </c>
      <c r="R107" s="23">
        <v>23984</v>
      </c>
      <c r="S107" s="23">
        <v>23984</v>
      </c>
      <c r="T107" s="23">
        <v>23984</v>
      </c>
      <c r="U107" s="23">
        <v>23984</v>
      </c>
      <c r="V107" s="24">
        <v>89940</v>
      </c>
      <c r="W107" s="25">
        <f t="shared" si="2"/>
        <v>413694.12</v>
      </c>
    </row>
    <row r="108" spans="1:23" s="66" customFormat="1" ht="11.25">
      <c r="A108" s="247"/>
      <c r="B108" s="71" t="s">
        <v>159</v>
      </c>
      <c r="C108" s="307"/>
      <c r="D108" s="307"/>
      <c r="E108" s="309"/>
      <c r="F108" s="305"/>
      <c r="G108" s="51">
        <v>0.04645</v>
      </c>
      <c r="H108" s="28">
        <v>19905</v>
      </c>
      <c r="I108" s="28">
        <v>20180</v>
      </c>
      <c r="J108" s="28">
        <v>18030</v>
      </c>
      <c r="K108" s="28">
        <v>14200</v>
      </c>
      <c r="L108" s="28">
        <v>13265</v>
      </c>
      <c r="M108" s="28">
        <v>12255</v>
      </c>
      <c r="N108" s="28">
        <v>11280</v>
      </c>
      <c r="O108" s="28">
        <v>10310</v>
      </c>
      <c r="P108" s="28">
        <v>9360</v>
      </c>
      <c r="Q108" s="28">
        <v>8365</v>
      </c>
      <c r="R108" s="28">
        <v>7390</v>
      </c>
      <c r="S108" s="28">
        <v>6420</v>
      </c>
      <c r="T108" s="28">
        <v>5460</v>
      </c>
      <c r="U108" s="28">
        <v>4475</v>
      </c>
      <c r="V108" s="29">
        <v>8160</v>
      </c>
      <c r="W108" s="30">
        <f t="shared" si="2"/>
        <v>169055</v>
      </c>
    </row>
    <row r="109" spans="1:23" s="66" customFormat="1" ht="17.25" customHeight="1">
      <c r="A109" s="246">
        <v>52</v>
      </c>
      <c r="B109" s="22" t="s">
        <v>13</v>
      </c>
      <c r="C109" s="306" t="s">
        <v>69</v>
      </c>
      <c r="D109" s="306">
        <v>686</v>
      </c>
      <c r="E109" s="308">
        <f>57959+23673+506197</f>
        <v>587829</v>
      </c>
      <c r="F109" s="304" t="s">
        <v>160</v>
      </c>
      <c r="G109" s="50" t="s">
        <v>16</v>
      </c>
      <c r="H109" s="23">
        <v>59524</v>
      </c>
      <c r="I109" s="23">
        <v>59524</v>
      </c>
      <c r="J109" s="23">
        <v>59524</v>
      </c>
      <c r="K109" s="23">
        <v>59524</v>
      </c>
      <c r="L109" s="23">
        <v>59524</v>
      </c>
      <c r="M109" s="23">
        <v>59524</v>
      </c>
      <c r="N109" s="23">
        <v>59524</v>
      </c>
      <c r="O109" s="23">
        <v>44635.96</v>
      </c>
      <c r="P109" s="23"/>
      <c r="Q109" s="23"/>
      <c r="R109" s="23"/>
      <c r="S109" s="23"/>
      <c r="T109" s="23"/>
      <c r="U109" s="23"/>
      <c r="V109" s="24"/>
      <c r="W109" s="25">
        <f t="shared" si="2"/>
        <v>461303.96</v>
      </c>
    </row>
    <row r="110" spans="1:23" s="66" customFormat="1" ht="18.75" customHeight="1">
      <c r="A110" s="247"/>
      <c r="B110" s="67" t="s">
        <v>161</v>
      </c>
      <c r="C110" s="307"/>
      <c r="D110" s="307"/>
      <c r="E110" s="309"/>
      <c r="F110" s="305"/>
      <c r="G110" s="51">
        <v>0.02938</v>
      </c>
      <c r="H110" s="28">
        <v>21035</v>
      </c>
      <c r="I110" s="28">
        <v>17915</v>
      </c>
      <c r="J110" s="28">
        <v>14800</v>
      </c>
      <c r="K110" s="28">
        <v>11095</v>
      </c>
      <c r="L110" s="28">
        <v>8710</v>
      </c>
      <c r="M110" s="28">
        <v>6270</v>
      </c>
      <c r="N110" s="28">
        <v>3855</v>
      </c>
      <c r="O110" s="28">
        <v>1440</v>
      </c>
      <c r="P110" s="28"/>
      <c r="Q110" s="28"/>
      <c r="R110" s="28"/>
      <c r="S110" s="28"/>
      <c r="T110" s="28"/>
      <c r="U110" s="28"/>
      <c r="V110" s="29"/>
      <c r="W110" s="30">
        <f t="shared" si="2"/>
        <v>85120</v>
      </c>
    </row>
    <row r="111" spans="1:23" s="66" customFormat="1" ht="23.25" customHeight="1">
      <c r="A111" s="246">
        <v>53</v>
      </c>
      <c r="B111" s="22" t="s">
        <v>13</v>
      </c>
      <c r="C111" s="306" t="s">
        <v>162</v>
      </c>
      <c r="D111" s="306">
        <v>687</v>
      </c>
      <c r="E111" s="308">
        <v>400000</v>
      </c>
      <c r="F111" s="304" t="s">
        <v>163</v>
      </c>
      <c r="G111" s="50" t="s">
        <v>16</v>
      </c>
      <c r="H111" s="23">
        <v>11380</v>
      </c>
      <c r="I111" s="23">
        <v>22860</v>
      </c>
      <c r="J111" s="23">
        <v>22860</v>
      </c>
      <c r="K111" s="23">
        <v>22860</v>
      </c>
      <c r="L111" s="23">
        <v>22860</v>
      </c>
      <c r="M111" s="23">
        <v>22860</v>
      </c>
      <c r="N111" s="23">
        <v>22860</v>
      </c>
      <c r="O111" s="23">
        <v>22860</v>
      </c>
      <c r="P111" s="23">
        <v>22860</v>
      </c>
      <c r="Q111" s="23">
        <v>22860</v>
      </c>
      <c r="R111" s="23">
        <v>22860</v>
      </c>
      <c r="S111" s="23">
        <v>22860</v>
      </c>
      <c r="T111" s="23">
        <v>22860</v>
      </c>
      <c r="U111" s="23">
        <v>22860</v>
      </c>
      <c r="V111" s="23">
        <v>91440</v>
      </c>
      <c r="W111" s="25">
        <f t="shared" si="2"/>
        <v>400000</v>
      </c>
    </row>
    <row r="112" spans="1:23" s="66" customFormat="1" ht="21.75" customHeight="1">
      <c r="A112" s="247"/>
      <c r="B112" s="67" t="s">
        <v>164</v>
      </c>
      <c r="C112" s="307"/>
      <c r="D112" s="307"/>
      <c r="E112" s="309"/>
      <c r="F112" s="305"/>
      <c r="G112" s="51">
        <v>0.04648</v>
      </c>
      <c r="H112" s="28">
        <v>18480</v>
      </c>
      <c r="I112" s="28">
        <v>19525</v>
      </c>
      <c r="J112" s="28">
        <v>18365</v>
      </c>
      <c r="K112" s="28">
        <v>13765</v>
      </c>
      <c r="L112" s="28">
        <v>12875</v>
      </c>
      <c r="M112" s="28">
        <v>11910</v>
      </c>
      <c r="N112" s="28">
        <v>10985</v>
      </c>
      <c r="O112" s="28">
        <v>10060</v>
      </c>
      <c r="P112" s="28">
        <v>9155</v>
      </c>
      <c r="Q112" s="28">
        <v>8205</v>
      </c>
      <c r="R112" s="28">
        <v>7275</v>
      </c>
      <c r="S112" s="28">
        <v>6350</v>
      </c>
      <c r="T112" s="28">
        <v>5435</v>
      </c>
      <c r="U112" s="28">
        <v>4495</v>
      </c>
      <c r="V112" s="28">
        <v>8760</v>
      </c>
      <c r="W112" s="30">
        <f t="shared" si="2"/>
        <v>165640</v>
      </c>
    </row>
    <row r="113" spans="1:23" s="72" customFormat="1" ht="16.5" customHeight="1">
      <c r="A113" s="246">
        <v>54</v>
      </c>
      <c r="B113" s="22" t="s">
        <v>13</v>
      </c>
      <c r="C113" s="306" t="s">
        <v>165</v>
      </c>
      <c r="D113" s="306">
        <v>688</v>
      </c>
      <c r="E113" s="308">
        <f>165287-28.01</f>
        <v>165258.99</v>
      </c>
      <c r="F113" s="304" t="s">
        <v>163</v>
      </c>
      <c r="G113" s="50" t="s">
        <v>16</v>
      </c>
      <c r="H113" s="52">
        <f>2359-28.01</f>
        <v>2330.99</v>
      </c>
      <c r="I113" s="23">
        <v>9584</v>
      </c>
      <c r="J113" s="23">
        <v>9584</v>
      </c>
      <c r="K113" s="23">
        <v>9584</v>
      </c>
      <c r="L113" s="23">
        <v>9584</v>
      </c>
      <c r="M113" s="23">
        <v>9584</v>
      </c>
      <c r="N113" s="23">
        <v>9584</v>
      </c>
      <c r="O113" s="23">
        <v>9584</v>
      </c>
      <c r="P113" s="23">
        <v>9584</v>
      </c>
      <c r="Q113" s="23">
        <v>9584</v>
      </c>
      <c r="R113" s="23">
        <v>9584</v>
      </c>
      <c r="S113" s="23">
        <v>9584</v>
      </c>
      <c r="T113" s="23">
        <v>9584</v>
      </c>
      <c r="U113" s="23">
        <v>9584</v>
      </c>
      <c r="V113" s="23">
        <v>38336</v>
      </c>
      <c r="W113" s="25">
        <f t="shared" si="2"/>
        <v>165258.99</v>
      </c>
    </row>
    <row r="114" spans="1:23" s="72" customFormat="1" ht="21" customHeight="1">
      <c r="A114" s="247"/>
      <c r="B114" s="27" t="s">
        <v>166</v>
      </c>
      <c r="C114" s="307"/>
      <c r="D114" s="307"/>
      <c r="E114" s="309"/>
      <c r="F114" s="305"/>
      <c r="G114" s="51">
        <v>0.04648</v>
      </c>
      <c r="H114" s="28">
        <v>7640</v>
      </c>
      <c r="I114" s="28">
        <v>8185</v>
      </c>
      <c r="J114" s="28">
        <v>7700</v>
      </c>
      <c r="K114" s="28">
        <v>5775</v>
      </c>
      <c r="L114" s="28">
        <v>5400</v>
      </c>
      <c r="M114" s="28">
        <v>4995</v>
      </c>
      <c r="N114" s="28">
        <v>4605</v>
      </c>
      <c r="O114" s="28">
        <v>4220</v>
      </c>
      <c r="P114" s="28">
        <v>3840</v>
      </c>
      <c r="Q114" s="28">
        <v>3440</v>
      </c>
      <c r="R114" s="28">
        <v>3050</v>
      </c>
      <c r="S114" s="28">
        <v>2665</v>
      </c>
      <c r="T114" s="28">
        <v>2280</v>
      </c>
      <c r="U114" s="28">
        <v>1885</v>
      </c>
      <c r="V114" s="28">
        <v>3675</v>
      </c>
      <c r="W114" s="30">
        <f t="shared" si="2"/>
        <v>69355</v>
      </c>
    </row>
    <row r="115" spans="1:23" s="72" customFormat="1" ht="11.25" customHeight="1">
      <c r="A115" s="246">
        <v>55</v>
      </c>
      <c r="B115" s="22" t="s">
        <v>13</v>
      </c>
      <c r="C115" s="306" t="s">
        <v>167</v>
      </c>
      <c r="D115" s="306">
        <v>689</v>
      </c>
      <c r="E115" s="308">
        <v>182387</v>
      </c>
      <c r="F115" s="304" t="s">
        <v>168</v>
      </c>
      <c r="G115" s="50" t="s">
        <v>16</v>
      </c>
      <c r="H115" s="73">
        <v>56120</v>
      </c>
      <c r="I115" s="73">
        <v>56120</v>
      </c>
      <c r="J115" s="73">
        <v>56120</v>
      </c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4"/>
      <c r="W115" s="25">
        <f t="shared" si="2"/>
        <v>168360</v>
      </c>
    </row>
    <row r="116" spans="1:23" s="72" customFormat="1" ht="11.25">
      <c r="A116" s="247"/>
      <c r="B116" s="27" t="s">
        <v>169</v>
      </c>
      <c r="C116" s="307"/>
      <c r="D116" s="307"/>
      <c r="E116" s="309"/>
      <c r="F116" s="305"/>
      <c r="G116" s="51">
        <v>0.04436</v>
      </c>
      <c r="H116" s="74">
        <v>6845</v>
      </c>
      <c r="I116" s="74">
        <v>5255</v>
      </c>
      <c r="J116" s="74">
        <v>2410</v>
      </c>
      <c r="K116" s="28">
        <v>160</v>
      </c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9"/>
      <c r="W116" s="30">
        <f t="shared" si="2"/>
        <v>14670</v>
      </c>
    </row>
    <row r="117" spans="1:23" s="66" customFormat="1" ht="11.25" customHeight="1">
      <c r="A117" s="246">
        <v>56</v>
      </c>
      <c r="B117" s="22" t="s">
        <v>13</v>
      </c>
      <c r="C117" s="306" t="s">
        <v>170</v>
      </c>
      <c r="D117" s="306">
        <v>690</v>
      </c>
      <c r="E117" s="308">
        <v>1554321</v>
      </c>
      <c r="F117" s="261" t="s">
        <v>171</v>
      </c>
      <c r="G117" s="50" t="s">
        <v>16</v>
      </c>
      <c r="H117" s="23">
        <v>1971</v>
      </c>
      <c r="I117" s="23">
        <v>10000</v>
      </c>
      <c r="J117" s="23">
        <v>20000</v>
      </c>
      <c r="K117" s="23">
        <v>60000</v>
      </c>
      <c r="L117" s="23">
        <v>77992</v>
      </c>
      <c r="M117" s="23">
        <v>77992</v>
      </c>
      <c r="N117" s="23">
        <v>77992</v>
      </c>
      <c r="O117" s="23">
        <v>77992</v>
      </c>
      <c r="P117" s="23">
        <v>77992</v>
      </c>
      <c r="Q117" s="23">
        <v>77992</v>
      </c>
      <c r="R117" s="23">
        <v>77992</v>
      </c>
      <c r="S117" s="23">
        <v>77992</v>
      </c>
      <c r="T117" s="23">
        <v>77992</v>
      </c>
      <c r="U117" s="23">
        <v>77992</v>
      </c>
      <c r="V117" s="23">
        <v>682430</v>
      </c>
      <c r="W117" s="25">
        <f t="shared" si="2"/>
        <v>1554321</v>
      </c>
    </row>
    <row r="118" spans="1:23" s="66" customFormat="1" ht="11.25">
      <c r="A118" s="247"/>
      <c r="B118" s="27" t="s">
        <v>172</v>
      </c>
      <c r="C118" s="307"/>
      <c r="D118" s="307"/>
      <c r="E118" s="309"/>
      <c r="F118" s="249"/>
      <c r="G118" s="51">
        <v>0.04791</v>
      </c>
      <c r="H118" s="28">
        <v>72820</v>
      </c>
      <c r="I118" s="28">
        <v>78615</v>
      </c>
      <c r="J118" s="28">
        <v>78005</v>
      </c>
      <c r="K118" s="28">
        <v>61275</v>
      </c>
      <c r="L118" s="28">
        <v>58945</v>
      </c>
      <c r="M118" s="28">
        <v>55660</v>
      </c>
      <c r="N118" s="28">
        <v>52495</v>
      </c>
      <c r="O118" s="28">
        <v>49330</v>
      </c>
      <c r="P118" s="28">
        <v>46295</v>
      </c>
      <c r="Q118" s="28">
        <v>43005</v>
      </c>
      <c r="R118" s="28">
        <v>39845</v>
      </c>
      <c r="S118" s="28">
        <v>36680</v>
      </c>
      <c r="T118" s="28">
        <v>33610</v>
      </c>
      <c r="U118" s="28">
        <v>30355</v>
      </c>
      <c r="V118" s="28">
        <v>130915</v>
      </c>
      <c r="W118" s="30">
        <f t="shared" si="2"/>
        <v>867850</v>
      </c>
    </row>
    <row r="119" spans="1:23" s="66" customFormat="1" ht="19.5" customHeight="1">
      <c r="A119" s="246">
        <v>57</v>
      </c>
      <c r="B119" s="22" t="s">
        <v>13</v>
      </c>
      <c r="C119" s="306" t="s">
        <v>173</v>
      </c>
      <c r="D119" s="306">
        <v>691</v>
      </c>
      <c r="E119" s="308">
        <f>102741-5539.61</f>
        <v>97201.39</v>
      </c>
      <c r="F119" s="304" t="s">
        <v>174</v>
      </c>
      <c r="G119" s="50" t="s">
        <v>16</v>
      </c>
      <c r="H119" s="23">
        <f>31616-1704</f>
        <v>29912</v>
      </c>
      <c r="I119" s="23">
        <f>31616-1704</f>
        <v>29912</v>
      </c>
      <c r="J119" s="23">
        <f>31616-1704</f>
        <v>29912</v>
      </c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4"/>
      <c r="W119" s="25">
        <f t="shared" si="2"/>
        <v>89736</v>
      </c>
    </row>
    <row r="120" spans="1:23" s="66" customFormat="1" ht="24.75" customHeight="1">
      <c r="A120" s="247"/>
      <c r="B120" s="27" t="s">
        <v>175</v>
      </c>
      <c r="C120" s="307"/>
      <c r="D120" s="307"/>
      <c r="E120" s="309"/>
      <c r="F120" s="305"/>
      <c r="G120" s="51">
        <v>0.03627</v>
      </c>
      <c r="H120" s="28">
        <v>4330</v>
      </c>
      <c r="I120" s="28">
        <v>2800</v>
      </c>
      <c r="J120" s="28">
        <v>1285</v>
      </c>
      <c r="K120" s="28">
        <v>85</v>
      </c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9"/>
      <c r="W120" s="30">
        <f t="shared" si="2"/>
        <v>8500</v>
      </c>
    </row>
    <row r="121" spans="1:23" s="72" customFormat="1" ht="11.25" customHeight="1">
      <c r="A121" s="246">
        <v>58</v>
      </c>
      <c r="B121" s="22" t="s">
        <v>13</v>
      </c>
      <c r="C121" s="306" t="s">
        <v>176</v>
      </c>
      <c r="D121" s="306">
        <v>692</v>
      </c>
      <c r="E121" s="308">
        <f>227931-0.13</f>
        <v>227930.87</v>
      </c>
      <c r="F121" s="312" t="s">
        <v>177</v>
      </c>
      <c r="G121" s="50" t="s">
        <v>16</v>
      </c>
      <c r="H121" s="52"/>
      <c r="I121" s="23">
        <v>13171</v>
      </c>
      <c r="J121" s="23">
        <v>13216</v>
      </c>
      <c r="K121" s="23">
        <v>13216</v>
      </c>
      <c r="L121" s="23">
        <v>13216</v>
      </c>
      <c r="M121" s="23">
        <v>13216</v>
      </c>
      <c r="N121" s="23">
        <v>13216</v>
      </c>
      <c r="O121" s="23">
        <v>13216</v>
      </c>
      <c r="P121" s="23">
        <v>13216</v>
      </c>
      <c r="Q121" s="23">
        <v>13216</v>
      </c>
      <c r="R121" s="23">
        <v>13216</v>
      </c>
      <c r="S121" s="23">
        <v>13216</v>
      </c>
      <c r="T121" s="23">
        <v>13216</v>
      </c>
      <c r="U121" s="23">
        <v>13216</v>
      </c>
      <c r="V121" s="24">
        <f>56168-0.13</f>
        <v>56167.87</v>
      </c>
      <c r="W121" s="25">
        <f t="shared" si="2"/>
        <v>227930.87</v>
      </c>
    </row>
    <row r="122" spans="1:23" s="72" customFormat="1" ht="11.25">
      <c r="A122" s="247"/>
      <c r="B122" s="27" t="s">
        <v>178</v>
      </c>
      <c r="C122" s="307"/>
      <c r="D122" s="307"/>
      <c r="E122" s="309"/>
      <c r="F122" s="313"/>
      <c r="G122" s="51">
        <v>0.04594</v>
      </c>
      <c r="H122" s="28">
        <v>12220</v>
      </c>
      <c r="I122" s="28">
        <v>11710</v>
      </c>
      <c r="J122" s="28">
        <v>10785</v>
      </c>
      <c r="K122" s="28">
        <v>8615</v>
      </c>
      <c r="L122" s="28">
        <v>7580</v>
      </c>
      <c r="M122" s="28">
        <v>7020</v>
      </c>
      <c r="N122" s="28">
        <v>6485</v>
      </c>
      <c r="O122" s="28">
        <v>5950</v>
      </c>
      <c r="P122" s="28">
        <v>5430</v>
      </c>
      <c r="Q122" s="28">
        <v>4880</v>
      </c>
      <c r="R122" s="28">
        <v>4340</v>
      </c>
      <c r="S122" s="28">
        <v>3805</v>
      </c>
      <c r="T122" s="28">
        <v>3280</v>
      </c>
      <c r="U122" s="28">
        <v>2735</v>
      </c>
      <c r="V122" s="29">
        <v>5665</v>
      </c>
      <c r="W122" s="30">
        <f t="shared" si="2"/>
        <v>100500</v>
      </c>
    </row>
    <row r="123" spans="1:23" s="66" customFormat="1" ht="22.5" customHeight="1">
      <c r="A123" s="246">
        <v>59</v>
      </c>
      <c r="B123" s="22" t="s">
        <v>13</v>
      </c>
      <c r="C123" s="306" t="s">
        <v>179</v>
      </c>
      <c r="D123" s="306">
        <v>693</v>
      </c>
      <c r="E123" s="308">
        <v>281144</v>
      </c>
      <c r="F123" s="312" t="s">
        <v>177</v>
      </c>
      <c r="G123" s="50" t="s">
        <v>16</v>
      </c>
      <c r="H123" s="52"/>
      <c r="I123" s="23">
        <v>14588</v>
      </c>
      <c r="J123" s="23">
        <v>14588</v>
      </c>
      <c r="K123" s="23">
        <v>14588</v>
      </c>
      <c r="L123" s="23">
        <v>9800.14</v>
      </c>
      <c r="M123" s="23"/>
      <c r="N123" s="23"/>
      <c r="O123" s="23"/>
      <c r="P123" s="23"/>
      <c r="Q123" s="23"/>
      <c r="R123" s="23"/>
      <c r="S123" s="23"/>
      <c r="T123" s="23"/>
      <c r="U123" s="23"/>
      <c r="V123" s="53"/>
      <c r="W123" s="25">
        <f t="shared" si="2"/>
        <v>53564.14</v>
      </c>
    </row>
    <row r="124" spans="1:23" s="66" customFormat="1" ht="21.75" customHeight="1">
      <c r="A124" s="247"/>
      <c r="B124" s="27" t="s">
        <v>180</v>
      </c>
      <c r="C124" s="307"/>
      <c r="D124" s="307"/>
      <c r="E124" s="309"/>
      <c r="F124" s="313"/>
      <c r="G124" s="51">
        <v>0.04594</v>
      </c>
      <c r="H124" s="28">
        <v>3535</v>
      </c>
      <c r="I124" s="28">
        <v>2630</v>
      </c>
      <c r="J124" s="28">
        <v>1865</v>
      </c>
      <c r="K124" s="28">
        <v>970</v>
      </c>
      <c r="L124" s="28">
        <v>310</v>
      </c>
      <c r="M124" s="28"/>
      <c r="N124" s="28"/>
      <c r="O124" s="28"/>
      <c r="P124" s="28"/>
      <c r="Q124" s="28"/>
      <c r="R124" s="28"/>
      <c r="S124" s="28"/>
      <c r="T124" s="28"/>
      <c r="U124" s="28"/>
      <c r="V124" s="29"/>
      <c r="W124" s="30">
        <f t="shared" si="2"/>
        <v>9310</v>
      </c>
    </row>
    <row r="125" spans="1:23" s="66" customFormat="1" ht="17.25" customHeight="1">
      <c r="A125" s="246">
        <v>60</v>
      </c>
      <c r="B125" s="22" t="s">
        <v>13</v>
      </c>
      <c r="C125" s="306" t="s">
        <v>181</v>
      </c>
      <c r="D125" s="306">
        <v>694</v>
      </c>
      <c r="E125" s="308">
        <v>103706</v>
      </c>
      <c r="F125" s="312" t="s">
        <v>182</v>
      </c>
      <c r="G125" s="50" t="s">
        <v>16</v>
      </c>
      <c r="H125" s="52"/>
      <c r="I125" s="52"/>
      <c r="J125" s="52"/>
      <c r="K125" s="69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6"/>
      <c r="W125" s="25">
        <f t="shared" si="2"/>
        <v>0</v>
      </c>
    </row>
    <row r="126" spans="1:23" s="66" customFormat="1" ht="16.5" customHeight="1">
      <c r="A126" s="247"/>
      <c r="B126" s="27" t="s">
        <v>183</v>
      </c>
      <c r="C126" s="307"/>
      <c r="D126" s="307"/>
      <c r="E126" s="309"/>
      <c r="F126" s="313"/>
      <c r="G126" s="51">
        <v>0.04369</v>
      </c>
      <c r="H126" s="28"/>
      <c r="I126" s="28"/>
      <c r="J126" s="28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8"/>
      <c r="W126" s="30">
        <f t="shared" si="2"/>
        <v>0</v>
      </c>
    </row>
    <row r="127" spans="1:23" s="66" customFormat="1" ht="11.25" customHeight="1">
      <c r="A127" s="246">
        <v>61</v>
      </c>
      <c r="B127" s="22" t="s">
        <v>13</v>
      </c>
      <c r="C127" s="306" t="s">
        <v>184</v>
      </c>
      <c r="D127" s="306">
        <v>695</v>
      </c>
      <c r="E127" s="308">
        <f>476312+31719</f>
        <v>508031</v>
      </c>
      <c r="F127" s="312" t="s">
        <v>185</v>
      </c>
      <c r="G127" s="50" t="s">
        <v>16</v>
      </c>
      <c r="H127" s="52"/>
      <c r="I127" s="52">
        <v>18276</v>
      </c>
      <c r="J127" s="23">
        <v>18276</v>
      </c>
      <c r="K127" s="23">
        <v>18276</v>
      </c>
      <c r="L127" s="23">
        <v>18276</v>
      </c>
      <c r="M127" s="23">
        <v>18276</v>
      </c>
      <c r="N127" s="23">
        <v>18276</v>
      </c>
      <c r="O127" s="23">
        <v>18276</v>
      </c>
      <c r="P127" s="23">
        <v>18276</v>
      </c>
      <c r="Q127" s="23">
        <v>18276</v>
      </c>
      <c r="R127" s="23">
        <v>18276</v>
      </c>
      <c r="S127" s="23">
        <v>18276</v>
      </c>
      <c r="T127" s="23">
        <v>18276</v>
      </c>
      <c r="U127" s="23">
        <v>18276</v>
      </c>
      <c r="V127" s="23">
        <v>260331.22</v>
      </c>
      <c r="W127" s="25">
        <f t="shared" si="2"/>
        <v>497919.22</v>
      </c>
    </row>
    <row r="128" spans="1:23" s="66" customFormat="1" ht="11.25">
      <c r="A128" s="247"/>
      <c r="B128" s="27" t="s">
        <v>186</v>
      </c>
      <c r="C128" s="307"/>
      <c r="D128" s="307"/>
      <c r="E128" s="309"/>
      <c r="F128" s="314"/>
      <c r="G128" s="51">
        <v>0.04969</v>
      </c>
      <c r="H128" s="28">
        <v>27925</v>
      </c>
      <c r="I128" s="28">
        <v>25940</v>
      </c>
      <c r="J128" s="28">
        <v>24175</v>
      </c>
      <c r="K128" s="28">
        <v>19790</v>
      </c>
      <c r="L128" s="28">
        <v>17905</v>
      </c>
      <c r="M128" s="28">
        <v>17115</v>
      </c>
      <c r="N128" s="28">
        <v>16375</v>
      </c>
      <c r="O128" s="28">
        <v>15635</v>
      </c>
      <c r="P128" s="28">
        <v>14935</v>
      </c>
      <c r="Q128" s="28">
        <v>14150</v>
      </c>
      <c r="R128" s="28">
        <v>13410</v>
      </c>
      <c r="S128" s="28">
        <v>12670</v>
      </c>
      <c r="T128" s="28">
        <v>11960</v>
      </c>
      <c r="U128" s="28">
        <v>11185</v>
      </c>
      <c r="V128" s="29">
        <v>78940</v>
      </c>
      <c r="W128" s="30">
        <f t="shared" si="2"/>
        <v>322110</v>
      </c>
    </row>
    <row r="129" spans="1:23" s="66" customFormat="1" ht="18.75" customHeight="1">
      <c r="A129" s="246">
        <v>62</v>
      </c>
      <c r="B129" s="22" t="s">
        <v>13</v>
      </c>
      <c r="C129" s="306" t="s">
        <v>187</v>
      </c>
      <c r="D129" s="306">
        <v>696</v>
      </c>
      <c r="E129" s="308">
        <f>800107-7133.93</f>
        <v>792973.07</v>
      </c>
      <c r="F129" s="312" t="s">
        <v>188</v>
      </c>
      <c r="G129" s="50" t="s">
        <v>16</v>
      </c>
      <c r="H129" s="52"/>
      <c r="I129" s="23">
        <v>1277</v>
      </c>
      <c r="J129" s="23">
        <v>4000</v>
      </c>
      <c r="K129" s="23">
        <v>51048</v>
      </c>
      <c r="L129" s="23">
        <v>51048</v>
      </c>
      <c r="M129" s="23">
        <v>51048</v>
      </c>
      <c r="N129" s="23">
        <v>51048</v>
      </c>
      <c r="O129" s="23">
        <v>51048</v>
      </c>
      <c r="P129" s="23">
        <v>51048</v>
      </c>
      <c r="Q129" s="23">
        <v>51048</v>
      </c>
      <c r="R129" s="23">
        <v>51048</v>
      </c>
      <c r="S129" s="23">
        <v>51048</v>
      </c>
      <c r="T129" s="23">
        <v>51048</v>
      </c>
      <c r="U129" s="23">
        <v>51048</v>
      </c>
      <c r="V129" s="53">
        <v>216900.17</v>
      </c>
      <c r="W129" s="25">
        <f t="shared" si="2"/>
        <v>783705.17</v>
      </c>
    </row>
    <row r="130" spans="1:23" s="66" customFormat="1" ht="16.5" customHeight="1">
      <c r="A130" s="247"/>
      <c r="B130" s="27" t="s">
        <v>189</v>
      </c>
      <c r="C130" s="307"/>
      <c r="D130" s="307"/>
      <c r="E130" s="309"/>
      <c r="F130" s="313"/>
      <c r="G130" s="51">
        <v>0.04789</v>
      </c>
      <c r="H130" s="28">
        <v>39275</v>
      </c>
      <c r="I130" s="28">
        <v>40125</v>
      </c>
      <c r="J130" s="28">
        <v>39630</v>
      </c>
      <c r="K130" s="28">
        <v>35080</v>
      </c>
      <c r="L130" s="28">
        <v>29265</v>
      </c>
      <c r="M130" s="28">
        <v>27110</v>
      </c>
      <c r="N130" s="28">
        <v>25040</v>
      </c>
      <c r="O130" s="28">
        <v>22970</v>
      </c>
      <c r="P130" s="28">
        <v>20960</v>
      </c>
      <c r="Q130" s="28">
        <v>18830</v>
      </c>
      <c r="R130" s="28">
        <v>16760</v>
      </c>
      <c r="S130" s="28">
        <v>14690</v>
      </c>
      <c r="T130" s="28">
        <v>12655</v>
      </c>
      <c r="U130" s="28">
        <v>10550</v>
      </c>
      <c r="V130" s="29">
        <v>21860</v>
      </c>
      <c r="W130" s="30">
        <f t="shared" si="2"/>
        <v>374800</v>
      </c>
    </row>
    <row r="131" spans="1:23" s="66" customFormat="1" ht="18.75" customHeight="1">
      <c r="A131" s="246">
        <v>63</v>
      </c>
      <c r="B131" s="22" t="s">
        <v>13</v>
      </c>
      <c r="C131" s="306" t="s">
        <v>190</v>
      </c>
      <c r="D131" s="306">
        <v>697</v>
      </c>
      <c r="E131" s="308">
        <f>727379-1545.06</f>
        <v>725833.94</v>
      </c>
      <c r="F131" s="312" t="s">
        <v>191</v>
      </c>
      <c r="G131" s="50" t="s">
        <v>16</v>
      </c>
      <c r="H131" s="52"/>
      <c r="I131" s="23">
        <v>1250</v>
      </c>
      <c r="J131" s="23">
        <v>4000</v>
      </c>
      <c r="K131" s="23">
        <v>28540</v>
      </c>
      <c r="L131" s="23">
        <v>28540</v>
      </c>
      <c r="M131" s="23">
        <v>28540</v>
      </c>
      <c r="N131" s="23">
        <v>28540</v>
      </c>
      <c r="O131" s="23">
        <v>28540</v>
      </c>
      <c r="P131" s="23">
        <v>28540</v>
      </c>
      <c r="Q131" s="23">
        <v>28540</v>
      </c>
      <c r="R131" s="23">
        <v>28540</v>
      </c>
      <c r="S131" s="23">
        <v>28540</v>
      </c>
      <c r="T131" s="23">
        <v>28540</v>
      </c>
      <c r="U131" s="23">
        <v>28540</v>
      </c>
      <c r="V131" s="24">
        <v>406643.94</v>
      </c>
      <c r="W131" s="79">
        <f t="shared" si="2"/>
        <v>725833.94</v>
      </c>
    </row>
    <row r="132" spans="1:23" s="66" customFormat="1" ht="17.25" customHeight="1">
      <c r="A132" s="247"/>
      <c r="B132" s="27" t="s">
        <v>192</v>
      </c>
      <c r="C132" s="307"/>
      <c r="D132" s="307"/>
      <c r="E132" s="309"/>
      <c r="F132" s="314"/>
      <c r="G132" s="51">
        <v>0.05144</v>
      </c>
      <c r="H132" s="28">
        <v>39275</v>
      </c>
      <c r="I132" s="28">
        <v>38630</v>
      </c>
      <c r="J132" s="28">
        <v>36700</v>
      </c>
      <c r="K132" s="28">
        <v>32635</v>
      </c>
      <c r="L132" s="28">
        <v>27965</v>
      </c>
      <c r="M132" s="28">
        <v>26735</v>
      </c>
      <c r="N132" s="28">
        <v>25575</v>
      </c>
      <c r="O132" s="28">
        <v>24420</v>
      </c>
      <c r="P132" s="28">
        <v>23325</v>
      </c>
      <c r="Q132" s="28">
        <v>22105</v>
      </c>
      <c r="R132" s="28">
        <v>20945</v>
      </c>
      <c r="S132" s="28">
        <v>19790</v>
      </c>
      <c r="T132" s="28">
        <v>18680</v>
      </c>
      <c r="U132" s="28">
        <v>17475</v>
      </c>
      <c r="V132" s="29">
        <v>123340</v>
      </c>
      <c r="W132" s="30">
        <f t="shared" si="2"/>
        <v>497595</v>
      </c>
    </row>
    <row r="133" spans="1:23" s="66" customFormat="1" ht="11.25" customHeight="1">
      <c r="A133" s="246">
        <v>64</v>
      </c>
      <c r="B133" s="22" t="s">
        <v>13</v>
      </c>
      <c r="C133" s="306" t="s">
        <v>152</v>
      </c>
      <c r="D133" s="306">
        <v>698</v>
      </c>
      <c r="E133" s="308">
        <v>49567</v>
      </c>
      <c r="F133" s="312" t="s">
        <v>193</v>
      </c>
      <c r="G133" s="50" t="s">
        <v>16</v>
      </c>
      <c r="H133" s="23">
        <v>1337</v>
      </c>
      <c r="I133" s="23">
        <v>2756</v>
      </c>
      <c r="J133" s="23">
        <v>2756</v>
      </c>
      <c r="K133" s="23">
        <v>2756</v>
      </c>
      <c r="L133" s="23">
        <v>2756</v>
      </c>
      <c r="M133" s="23">
        <v>2756</v>
      </c>
      <c r="N133" s="23">
        <v>2756</v>
      </c>
      <c r="O133" s="23">
        <v>2756</v>
      </c>
      <c r="P133" s="23">
        <v>2756</v>
      </c>
      <c r="Q133" s="23">
        <v>2756</v>
      </c>
      <c r="R133" s="23">
        <v>2756</v>
      </c>
      <c r="S133" s="23">
        <v>2756</v>
      </c>
      <c r="T133" s="23">
        <v>2756</v>
      </c>
      <c r="U133" s="23">
        <v>2651.87</v>
      </c>
      <c r="V133" s="24"/>
      <c r="W133" s="25">
        <f t="shared" si="2"/>
        <v>37060.87</v>
      </c>
    </row>
    <row r="134" spans="1:23" s="66" customFormat="1" ht="11.25">
      <c r="A134" s="247"/>
      <c r="B134" s="27" t="s">
        <v>194</v>
      </c>
      <c r="C134" s="307"/>
      <c r="D134" s="307"/>
      <c r="E134" s="309"/>
      <c r="F134" s="313"/>
      <c r="G134" s="51">
        <v>0.0503</v>
      </c>
      <c r="H134" s="28">
        <v>1985</v>
      </c>
      <c r="I134" s="28">
        <v>1885</v>
      </c>
      <c r="J134" s="28">
        <v>1650</v>
      </c>
      <c r="K134" s="28">
        <v>1365</v>
      </c>
      <c r="L134" s="28">
        <v>1100</v>
      </c>
      <c r="M134" s="28">
        <v>985</v>
      </c>
      <c r="N134" s="28">
        <v>875</v>
      </c>
      <c r="O134" s="28">
        <v>765</v>
      </c>
      <c r="P134" s="28">
        <v>655</v>
      </c>
      <c r="Q134" s="28">
        <v>540</v>
      </c>
      <c r="R134" s="28">
        <v>430</v>
      </c>
      <c r="S134" s="28">
        <v>315</v>
      </c>
      <c r="T134" s="28">
        <v>205</v>
      </c>
      <c r="U134" s="28">
        <v>95</v>
      </c>
      <c r="V134" s="29">
        <v>10</v>
      </c>
      <c r="W134" s="30">
        <f t="shared" si="2"/>
        <v>12860</v>
      </c>
    </row>
    <row r="135" spans="1:23" s="66" customFormat="1" ht="11.25" customHeight="1">
      <c r="A135" s="246">
        <v>65</v>
      </c>
      <c r="B135" s="22" t="s">
        <v>13</v>
      </c>
      <c r="C135" s="306" t="s">
        <v>195</v>
      </c>
      <c r="D135" s="306">
        <v>699</v>
      </c>
      <c r="E135" s="308">
        <v>2617758</v>
      </c>
      <c r="F135" s="312" t="s">
        <v>196</v>
      </c>
      <c r="G135" s="50" t="s">
        <v>16</v>
      </c>
      <c r="H135" s="52"/>
      <c r="I135" s="23">
        <v>1494</v>
      </c>
      <c r="J135" s="23">
        <v>4000</v>
      </c>
      <c r="K135" s="23">
        <v>103456</v>
      </c>
      <c r="L135" s="23">
        <v>103456</v>
      </c>
      <c r="M135" s="23">
        <v>103456</v>
      </c>
      <c r="N135" s="23">
        <v>103456</v>
      </c>
      <c r="O135" s="23">
        <v>103456</v>
      </c>
      <c r="P135" s="23">
        <v>103456</v>
      </c>
      <c r="Q135" s="23">
        <v>103456</v>
      </c>
      <c r="R135" s="23">
        <v>103456</v>
      </c>
      <c r="S135" s="23">
        <v>103456</v>
      </c>
      <c r="T135" s="23">
        <v>103456</v>
      </c>
      <c r="U135" s="23">
        <v>103456</v>
      </c>
      <c r="V135" s="24">
        <v>1474248</v>
      </c>
      <c r="W135" s="25">
        <f aca="true" t="shared" si="4" ref="W135:W198">SUM(H135:V135)</f>
        <v>2617758</v>
      </c>
    </row>
    <row r="136" spans="1:23" s="66" customFormat="1" ht="11.25">
      <c r="A136" s="247"/>
      <c r="B136" s="27" t="s">
        <v>197</v>
      </c>
      <c r="C136" s="307"/>
      <c r="D136" s="307"/>
      <c r="E136" s="309"/>
      <c r="F136" s="313"/>
      <c r="G136" s="51">
        <v>0.05982</v>
      </c>
      <c r="H136" s="28">
        <v>159445</v>
      </c>
      <c r="I136" s="28">
        <v>145935</v>
      </c>
      <c r="J136" s="28">
        <v>132595</v>
      </c>
      <c r="K136" s="28">
        <v>118275</v>
      </c>
      <c r="L136" s="28">
        <v>101380</v>
      </c>
      <c r="M136" s="28">
        <v>96905</v>
      </c>
      <c r="N136" s="28">
        <v>92710</v>
      </c>
      <c r="O136" s="28">
        <v>88515</v>
      </c>
      <c r="P136" s="28">
        <v>84550</v>
      </c>
      <c r="Q136" s="28">
        <v>80125</v>
      </c>
      <c r="R136" s="28">
        <v>75930</v>
      </c>
      <c r="S136" s="28">
        <v>71730</v>
      </c>
      <c r="T136" s="28">
        <v>67725</v>
      </c>
      <c r="U136" s="28">
        <v>63340</v>
      </c>
      <c r="V136" s="29">
        <v>447195</v>
      </c>
      <c r="W136" s="30">
        <f t="shared" si="4"/>
        <v>1826355</v>
      </c>
    </row>
    <row r="137" spans="1:23" s="66" customFormat="1" ht="11.25" customHeight="1">
      <c r="A137" s="246">
        <v>66</v>
      </c>
      <c r="B137" s="22" t="s">
        <v>13</v>
      </c>
      <c r="C137" s="306" t="s">
        <v>198</v>
      </c>
      <c r="D137" s="306">
        <v>700</v>
      </c>
      <c r="E137" s="308">
        <v>31923</v>
      </c>
      <c r="F137" s="312" t="s">
        <v>199</v>
      </c>
      <c r="G137" s="50" t="s">
        <v>16</v>
      </c>
      <c r="H137" s="52"/>
      <c r="I137" s="23">
        <v>1304</v>
      </c>
      <c r="J137" s="23">
        <v>1828</v>
      </c>
      <c r="K137" s="23">
        <v>1828</v>
      </c>
      <c r="L137" s="23">
        <v>1828</v>
      </c>
      <c r="M137" s="23">
        <v>1828</v>
      </c>
      <c r="N137" s="23">
        <v>1828</v>
      </c>
      <c r="O137" s="23">
        <v>1828</v>
      </c>
      <c r="P137" s="23">
        <v>1828</v>
      </c>
      <c r="Q137" s="23">
        <v>1828</v>
      </c>
      <c r="R137" s="23">
        <v>1828</v>
      </c>
      <c r="S137" s="23">
        <v>1828</v>
      </c>
      <c r="T137" s="23">
        <v>1828</v>
      </c>
      <c r="U137" s="23">
        <v>1828</v>
      </c>
      <c r="V137" s="24">
        <v>8683</v>
      </c>
      <c r="W137" s="25">
        <f t="shared" si="4"/>
        <v>31923</v>
      </c>
    </row>
    <row r="138" spans="1:23" s="66" customFormat="1" ht="11.25">
      <c r="A138" s="247"/>
      <c r="B138" s="27" t="s">
        <v>200</v>
      </c>
      <c r="C138" s="307"/>
      <c r="D138" s="307"/>
      <c r="E138" s="309"/>
      <c r="F138" s="313"/>
      <c r="G138" s="51">
        <v>0.05916</v>
      </c>
      <c r="H138" s="28">
        <v>1930</v>
      </c>
      <c r="I138" s="28">
        <v>1855</v>
      </c>
      <c r="J138" s="28">
        <v>1465</v>
      </c>
      <c r="K138" s="28">
        <v>1160</v>
      </c>
      <c r="L138" s="28">
        <v>1090</v>
      </c>
      <c r="M138" s="28">
        <v>1010</v>
      </c>
      <c r="N138" s="28">
        <v>935</v>
      </c>
      <c r="O138" s="28">
        <v>860</v>
      </c>
      <c r="P138" s="28">
        <v>790</v>
      </c>
      <c r="Q138" s="28">
        <v>715</v>
      </c>
      <c r="R138" s="28">
        <v>640</v>
      </c>
      <c r="S138" s="28">
        <v>565</v>
      </c>
      <c r="T138" s="28">
        <v>495</v>
      </c>
      <c r="U138" s="28">
        <v>415</v>
      </c>
      <c r="V138" s="29">
        <v>965</v>
      </c>
      <c r="W138" s="30">
        <f t="shared" si="4"/>
        <v>14890</v>
      </c>
    </row>
    <row r="139" spans="1:23" s="66" customFormat="1" ht="16.5" customHeight="1">
      <c r="A139" s="246">
        <v>67</v>
      </c>
      <c r="B139" s="22" t="s">
        <v>13</v>
      </c>
      <c r="C139" s="306" t="s">
        <v>201</v>
      </c>
      <c r="D139" s="306">
        <v>701</v>
      </c>
      <c r="E139" s="308">
        <v>281777</v>
      </c>
      <c r="F139" s="312" t="s">
        <v>199</v>
      </c>
      <c r="G139" s="50" t="s">
        <v>16</v>
      </c>
      <c r="H139" s="52"/>
      <c r="I139" s="23">
        <v>8149</v>
      </c>
      <c r="J139" s="23">
        <v>16336</v>
      </c>
      <c r="K139" s="23">
        <v>16336</v>
      </c>
      <c r="L139" s="23">
        <v>16336</v>
      </c>
      <c r="M139" s="23">
        <v>16336</v>
      </c>
      <c r="N139" s="23">
        <v>16336</v>
      </c>
      <c r="O139" s="23">
        <v>16336</v>
      </c>
      <c r="P139" s="23">
        <v>16336</v>
      </c>
      <c r="Q139" s="23">
        <v>16336</v>
      </c>
      <c r="R139" s="23">
        <v>16336</v>
      </c>
      <c r="S139" s="23">
        <v>16336</v>
      </c>
      <c r="T139" s="23">
        <v>16336</v>
      </c>
      <c r="U139" s="23">
        <v>16336</v>
      </c>
      <c r="V139" s="24">
        <v>77596</v>
      </c>
      <c r="W139" s="25">
        <f t="shared" si="4"/>
        <v>281777</v>
      </c>
    </row>
    <row r="140" spans="1:23" s="66" customFormat="1" ht="15" customHeight="1">
      <c r="A140" s="247"/>
      <c r="B140" s="27" t="s">
        <v>202</v>
      </c>
      <c r="C140" s="307"/>
      <c r="D140" s="307"/>
      <c r="E140" s="309"/>
      <c r="F140" s="313"/>
      <c r="G140" s="51">
        <v>0.05916</v>
      </c>
      <c r="H140" s="28">
        <v>16915</v>
      </c>
      <c r="I140" s="28">
        <v>16420</v>
      </c>
      <c r="J140" s="28">
        <v>13070</v>
      </c>
      <c r="K140" s="28">
        <v>10335</v>
      </c>
      <c r="L140" s="28">
        <v>9700</v>
      </c>
      <c r="M140" s="28">
        <v>9010</v>
      </c>
      <c r="N140" s="28">
        <v>8345</v>
      </c>
      <c r="O140" s="28">
        <v>7685</v>
      </c>
      <c r="P140" s="28">
        <v>7040</v>
      </c>
      <c r="Q140" s="28">
        <v>6360</v>
      </c>
      <c r="R140" s="28">
        <v>5695</v>
      </c>
      <c r="S140" s="28">
        <v>5035</v>
      </c>
      <c r="T140" s="28">
        <v>4385</v>
      </c>
      <c r="U140" s="28">
        <v>3710</v>
      </c>
      <c r="V140" s="29">
        <v>8610</v>
      </c>
      <c r="W140" s="30">
        <f t="shared" si="4"/>
        <v>132315</v>
      </c>
    </row>
    <row r="141" spans="1:23" s="66" customFormat="1" ht="11.25" customHeight="1">
      <c r="A141" s="246">
        <v>68</v>
      </c>
      <c r="B141" s="22" t="s">
        <v>13</v>
      </c>
      <c r="C141" s="306" t="s">
        <v>34</v>
      </c>
      <c r="D141" s="306">
        <v>703</v>
      </c>
      <c r="E141" s="302">
        <v>1917761</v>
      </c>
      <c r="F141" s="304" t="s">
        <v>203</v>
      </c>
      <c r="G141" s="50" t="s">
        <v>16</v>
      </c>
      <c r="H141" s="23">
        <v>6000</v>
      </c>
      <c r="I141" s="23">
        <v>10000</v>
      </c>
      <c r="J141" s="23">
        <v>25000</v>
      </c>
      <c r="K141" s="23">
        <v>58716</v>
      </c>
      <c r="L141" s="23">
        <v>89484</v>
      </c>
      <c r="M141" s="23">
        <v>89484</v>
      </c>
      <c r="N141" s="23">
        <v>89484</v>
      </c>
      <c r="O141" s="23">
        <v>89484</v>
      </c>
      <c r="P141" s="23">
        <v>80130</v>
      </c>
      <c r="Q141" s="23">
        <v>70768</v>
      </c>
      <c r="R141" s="23">
        <v>70768</v>
      </c>
      <c r="S141" s="23">
        <v>70768</v>
      </c>
      <c r="T141" s="23">
        <v>70768</v>
      </c>
      <c r="U141" s="23">
        <v>70768</v>
      </c>
      <c r="V141" s="24">
        <v>1026139</v>
      </c>
      <c r="W141" s="25">
        <f t="shared" si="4"/>
        <v>1917761</v>
      </c>
    </row>
    <row r="142" spans="1:23" s="66" customFormat="1" ht="11.25">
      <c r="A142" s="247"/>
      <c r="B142" s="27" t="s">
        <v>204</v>
      </c>
      <c r="C142" s="307"/>
      <c r="D142" s="307"/>
      <c r="E142" s="303"/>
      <c r="F142" s="305"/>
      <c r="G142" s="51">
        <v>0.04095</v>
      </c>
      <c r="H142" s="28">
        <v>117165</v>
      </c>
      <c r="I142" s="28">
        <v>113765</v>
      </c>
      <c r="J142" s="28">
        <v>98595</v>
      </c>
      <c r="K142" s="28">
        <v>75685</v>
      </c>
      <c r="L142" s="28">
        <v>73310</v>
      </c>
      <c r="M142" s="28">
        <v>69545</v>
      </c>
      <c r="N142" s="28">
        <v>65915</v>
      </c>
      <c r="O142" s="28">
        <v>62290</v>
      </c>
      <c r="P142" s="28">
        <v>58825</v>
      </c>
      <c r="Q142" s="28">
        <v>55525</v>
      </c>
      <c r="R142" s="28">
        <v>52655</v>
      </c>
      <c r="S142" s="28">
        <v>49785</v>
      </c>
      <c r="T142" s="28">
        <v>47045</v>
      </c>
      <c r="U142" s="28">
        <v>44045</v>
      </c>
      <c r="V142" s="29">
        <v>316470</v>
      </c>
      <c r="W142" s="30">
        <f t="shared" si="4"/>
        <v>1300620</v>
      </c>
    </row>
    <row r="143" spans="1:23" s="66" customFormat="1" ht="11.25" customHeight="1">
      <c r="A143" s="246">
        <v>69</v>
      </c>
      <c r="B143" s="22" t="s">
        <v>13</v>
      </c>
      <c r="C143" s="300" t="s">
        <v>205</v>
      </c>
      <c r="D143" s="306">
        <v>704</v>
      </c>
      <c r="E143" s="302">
        <v>233148</v>
      </c>
      <c r="F143" s="304" t="s">
        <v>206</v>
      </c>
      <c r="G143" s="50" t="s">
        <v>16</v>
      </c>
      <c r="H143" s="23">
        <v>0</v>
      </c>
      <c r="I143" s="23">
        <v>5208</v>
      </c>
      <c r="J143" s="23">
        <v>10480</v>
      </c>
      <c r="K143" s="23">
        <v>10480</v>
      </c>
      <c r="L143" s="23">
        <v>10480</v>
      </c>
      <c r="M143" s="23">
        <v>10480</v>
      </c>
      <c r="N143" s="23">
        <v>10480</v>
      </c>
      <c r="O143" s="23">
        <v>10480</v>
      </c>
      <c r="P143" s="23">
        <v>10480</v>
      </c>
      <c r="Q143" s="23">
        <v>10480</v>
      </c>
      <c r="R143" s="23">
        <v>10480</v>
      </c>
      <c r="S143" s="23">
        <v>10480</v>
      </c>
      <c r="T143" s="23">
        <v>10480</v>
      </c>
      <c r="U143" s="23">
        <v>10480</v>
      </c>
      <c r="V143" s="23">
        <v>102180</v>
      </c>
      <c r="W143" s="25">
        <f t="shared" si="4"/>
        <v>233148</v>
      </c>
    </row>
    <row r="144" spans="1:23" s="66" customFormat="1" ht="11.25">
      <c r="A144" s="247"/>
      <c r="B144" s="27" t="s">
        <v>207</v>
      </c>
      <c r="C144" s="301"/>
      <c r="D144" s="307"/>
      <c r="E144" s="303"/>
      <c r="F144" s="305"/>
      <c r="G144" s="51">
        <v>0.0591</v>
      </c>
      <c r="H144" s="28">
        <v>13850</v>
      </c>
      <c r="I144" s="28">
        <v>11820</v>
      </c>
      <c r="J144" s="28">
        <v>11475</v>
      </c>
      <c r="K144" s="28">
        <v>8755</v>
      </c>
      <c r="L144" s="28">
        <v>8355</v>
      </c>
      <c r="M144" s="28">
        <v>7905</v>
      </c>
      <c r="N144" s="28">
        <v>7480</v>
      </c>
      <c r="O144" s="28">
        <v>7055</v>
      </c>
      <c r="P144" s="28">
        <v>6650</v>
      </c>
      <c r="Q144" s="28">
        <v>6205</v>
      </c>
      <c r="R144" s="28">
        <v>5780</v>
      </c>
      <c r="S144" s="28">
        <v>5355</v>
      </c>
      <c r="T144" s="28">
        <v>4945</v>
      </c>
      <c r="U144" s="28">
        <v>4505</v>
      </c>
      <c r="V144" s="28">
        <v>21675</v>
      </c>
      <c r="W144" s="30">
        <f t="shared" si="4"/>
        <v>131810</v>
      </c>
    </row>
    <row r="145" spans="1:23" s="66" customFormat="1" ht="11.25" customHeight="1">
      <c r="A145" s="246">
        <v>70</v>
      </c>
      <c r="B145" s="22" t="s">
        <v>13</v>
      </c>
      <c r="C145" s="300" t="s">
        <v>208</v>
      </c>
      <c r="D145" s="306">
        <v>705</v>
      </c>
      <c r="E145" s="302">
        <v>61747</v>
      </c>
      <c r="F145" s="304" t="s">
        <v>209</v>
      </c>
      <c r="G145" s="50" t="s">
        <v>16</v>
      </c>
      <c r="H145" s="23">
        <v>7032</v>
      </c>
      <c r="I145" s="23">
        <v>7060</v>
      </c>
      <c r="J145" s="23">
        <v>7060</v>
      </c>
      <c r="K145" s="23">
        <v>7060</v>
      </c>
      <c r="L145" s="23">
        <v>7060</v>
      </c>
      <c r="M145" s="23">
        <v>7060</v>
      </c>
      <c r="N145" s="23">
        <v>7060</v>
      </c>
      <c r="O145" s="23">
        <v>7060</v>
      </c>
      <c r="P145" s="23">
        <v>5295</v>
      </c>
      <c r="Q145" s="23"/>
      <c r="R145" s="23"/>
      <c r="S145" s="23"/>
      <c r="T145" s="23"/>
      <c r="U145" s="23"/>
      <c r="V145" s="23"/>
      <c r="W145" s="25">
        <f t="shared" si="4"/>
        <v>61747</v>
      </c>
    </row>
    <row r="146" spans="1:23" s="66" customFormat="1" ht="11.25">
      <c r="A146" s="247"/>
      <c r="B146" s="27" t="s">
        <v>210</v>
      </c>
      <c r="C146" s="301"/>
      <c r="D146" s="307"/>
      <c r="E146" s="303"/>
      <c r="F146" s="305"/>
      <c r="G146" s="51">
        <v>0.0531</v>
      </c>
      <c r="H146" s="28">
        <v>3215</v>
      </c>
      <c r="I146" s="28">
        <v>2720</v>
      </c>
      <c r="J146" s="28">
        <v>2365</v>
      </c>
      <c r="K146" s="28">
        <v>1605</v>
      </c>
      <c r="L146" s="28">
        <v>1320</v>
      </c>
      <c r="M146" s="28">
        <v>1030</v>
      </c>
      <c r="N146" s="28">
        <v>745</v>
      </c>
      <c r="O146" s="28">
        <v>460</v>
      </c>
      <c r="P146" s="28">
        <v>175</v>
      </c>
      <c r="Q146" s="28"/>
      <c r="R146" s="28"/>
      <c r="S146" s="28"/>
      <c r="T146" s="28"/>
      <c r="U146" s="28"/>
      <c r="V146" s="28"/>
      <c r="W146" s="30">
        <f t="shared" si="4"/>
        <v>13635</v>
      </c>
    </row>
    <row r="147" spans="1:23" s="66" customFormat="1" ht="11.25" customHeight="1">
      <c r="A147" s="246">
        <v>71</v>
      </c>
      <c r="B147" s="22" t="s">
        <v>13</v>
      </c>
      <c r="C147" s="300" t="s">
        <v>211</v>
      </c>
      <c r="D147" s="306">
        <v>706</v>
      </c>
      <c r="E147" s="302">
        <v>86370</v>
      </c>
      <c r="F147" s="304" t="s">
        <v>209</v>
      </c>
      <c r="G147" s="50" t="s">
        <v>16</v>
      </c>
      <c r="H147" s="23">
        <v>9862</v>
      </c>
      <c r="I147" s="23">
        <v>9872</v>
      </c>
      <c r="J147" s="23">
        <v>9872</v>
      </c>
      <c r="K147" s="23">
        <v>9872</v>
      </c>
      <c r="L147" s="23">
        <v>9872</v>
      </c>
      <c r="M147" s="23">
        <v>9872</v>
      </c>
      <c r="N147" s="23">
        <v>9872</v>
      </c>
      <c r="O147" s="23">
        <v>9872</v>
      </c>
      <c r="P147" s="23">
        <v>7404</v>
      </c>
      <c r="Q147" s="23"/>
      <c r="R147" s="23"/>
      <c r="S147" s="23"/>
      <c r="T147" s="23"/>
      <c r="U147" s="23"/>
      <c r="V147" s="23"/>
      <c r="W147" s="25">
        <f t="shared" si="4"/>
        <v>86370</v>
      </c>
    </row>
    <row r="148" spans="1:23" s="66" customFormat="1" ht="11.25">
      <c r="A148" s="247"/>
      <c r="B148" s="27" t="s">
        <v>212</v>
      </c>
      <c r="C148" s="301"/>
      <c r="D148" s="307"/>
      <c r="E148" s="303"/>
      <c r="F148" s="305"/>
      <c r="G148" s="51">
        <v>0.0531</v>
      </c>
      <c r="H148" s="28">
        <v>4495</v>
      </c>
      <c r="I148" s="28">
        <v>3805</v>
      </c>
      <c r="J148" s="28">
        <v>3305</v>
      </c>
      <c r="K148" s="28">
        <v>2245</v>
      </c>
      <c r="L148" s="28">
        <v>1850</v>
      </c>
      <c r="M148" s="28">
        <v>1440</v>
      </c>
      <c r="N148" s="28">
        <v>1040</v>
      </c>
      <c r="O148" s="28">
        <v>640</v>
      </c>
      <c r="P148" s="28">
        <v>240</v>
      </c>
      <c r="Q148" s="28"/>
      <c r="R148" s="28"/>
      <c r="S148" s="28"/>
      <c r="T148" s="28"/>
      <c r="U148" s="28"/>
      <c r="V148" s="28"/>
      <c r="W148" s="30">
        <f t="shared" si="4"/>
        <v>19060</v>
      </c>
    </row>
    <row r="149" spans="1:23" s="66" customFormat="1" ht="11.25" customHeight="1">
      <c r="A149" s="246">
        <v>72</v>
      </c>
      <c r="B149" s="22" t="s">
        <v>13</v>
      </c>
      <c r="C149" s="300" t="s">
        <v>213</v>
      </c>
      <c r="D149" s="306">
        <v>707</v>
      </c>
      <c r="E149" s="302">
        <v>59840</v>
      </c>
      <c r="F149" s="304" t="s">
        <v>209</v>
      </c>
      <c r="G149" s="50" t="s">
        <v>16</v>
      </c>
      <c r="H149" s="23">
        <v>6830</v>
      </c>
      <c r="I149" s="23">
        <v>6840</v>
      </c>
      <c r="J149" s="23">
        <v>6840</v>
      </c>
      <c r="K149" s="23">
        <v>6840</v>
      </c>
      <c r="L149" s="23">
        <v>6840</v>
      </c>
      <c r="M149" s="23">
        <v>6840</v>
      </c>
      <c r="N149" s="23">
        <v>6840</v>
      </c>
      <c r="O149" s="23">
        <v>6840</v>
      </c>
      <c r="P149" s="23">
        <v>5130</v>
      </c>
      <c r="Q149" s="23"/>
      <c r="R149" s="23"/>
      <c r="S149" s="23"/>
      <c r="T149" s="23"/>
      <c r="U149" s="23"/>
      <c r="V149" s="23"/>
      <c r="W149" s="25">
        <f t="shared" si="4"/>
        <v>59840</v>
      </c>
    </row>
    <row r="150" spans="1:23" s="66" customFormat="1" ht="11.25">
      <c r="A150" s="247"/>
      <c r="B150" s="27" t="s">
        <v>214</v>
      </c>
      <c r="C150" s="301"/>
      <c r="D150" s="307"/>
      <c r="E150" s="303"/>
      <c r="F150" s="305"/>
      <c r="G150" s="51">
        <v>0.0531</v>
      </c>
      <c r="H150" s="28">
        <v>3115</v>
      </c>
      <c r="I150" s="28">
        <v>2635</v>
      </c>
      <c r="J150" s="28">
        <v>2290</v>
      </c>
      <c r="K150" s="28">
        <v>1555</v>
      </c>
      <c r="L150" s="28">
        <v>1280</v>
      </c>
      <c r="M150" s="28">
        <v>1000</v>
      </c>
      <c r="N150" s="28">
        <v>725</v>
      </c>
      <c r="O150" s="28">
        <v>445</v>
      </c>
      <c r="P150" s="28">
        <v>170</v>
      </c>
      <c r="Q150" s="28"/>
      <c r="R150" s="28"/>
      <c r="S150" s="28"/>
      <c r="T150" s="28"/>
      <c r="U150" s="28"/>
      <c r="V150" s="28"/>
      <c r="W150" s="30">
        <f t="shared" si="4"/>
        <v>13215</v>
      </c>
    </row>
    <row r="151" spans="1:23" s="66" customFormat="1" ht="11.25" customHeight="1">
      <c r="A151" s="246">
        <v>73</v>
      </c>
      <c r="B151" s="22" t="s">
        <v>13</v>
      </c>
      <c r="C151" s="300" t="s">
        <v>215</v>
      </c>
      <c r="D151" s="306">
        <v>708</v>
      </c>
      <c r="E151" s="302">
        <v>94375</v>
      </c>
      <c r="F151" s="304" t="s">
        <v>209</v>
      </c>
      <c r="G151" s="50" t="s">
        <v>16</v>
      </c>
      <c r="H151" s="52">
        <v>10768</v>
      </c>
      <c r="I151" s="52">
        <v>10788</v>
      </c>
      <c r="J151" s="52">
        <v>10788</v>
      </c>
      <c r="K151" s="52">
        <v>10788</v>
      </c>
      <c r="L151" s="52">
        <v>10788</v>
      </c>
      <c r="M151" s="52">
        <v>10788</v>
      </c>
      <c r="N151" s="52">
        <v>10788</v>
      </c>
      <c r="O151" s="52">
        <v>10788</v>
      </c>
      <c r="P151" s="52">
        <v>8091</v>
      </c>
      <c r="Q151" s="23"/>
      <c r="R151" s="23"/>
      <c r="S151" s="23"/>
      <c r="T151" s="23"/>
      <c r="U151" s="23"/>
      <c r="V151" s="23"/>
      <c r="W151" s="25">
        <f t="shared" si="4"/>
        <v>94375</v>
      </c>
    </row>
    <row r="152" spans="1:23" s="66" customFormat="1" ht="11.25">
      <c r="A152" s="247"/>
      <c r="B152" s="27" t="s">
        <v>216</v>
      </c>
      <c r="C152" s="301"/>
      <c r="D152" s="307"/>
      <c r="E152" s="303"/>
      <c r="F152" s="305"/>
      <c r="G152" s="51">
        <v>0.0531</v>
      </c>
      <c r="H152" s="28">
        <v>4910</v>
      </c>
      <c r="I152" s="28">
        <v>4155</v>
      </c>
      <c r="J152" s="28">
        <v>3610</v>
      </c>
      <c r="K152" s="28">
        <v>2450</v>
      </c>
      <c r="L152" s="28">
        <v>2020</v>
      </c>
      <c r="M152" s="28">
        <v>1575</v>
      </c>
      <c r="N152" s="28">
        <v>1140</v>
      </c>
      <c r="O152" s="28">
        <v>700</v>
      </c>
      <c r="P152" s="28">
        <v>265</v>
      </c>
      <c r="Q152" s="28"/>
      <c r="R152" s="28"/>
      <c r="S152" s="28"/>
      <c r="T152" s="28"/>
      <c r="U152" s="28"/>
      <c r="V152" s="28"/>
      <c r="W152" s="30">
        <f t="shared" si="4"/>
        <v>20825</v>
      </c>
    </row>
    <row r="153" spans="1:23" s="66" customFormat="1" ht="18" customHeight="1">
      <c r="A153" s="246">
        <v>74</v>
      </c>
      <c r="B153" s="22" t="s">
        <v>13</v>
      </c>
      <c r="C153" s="300" t="s">
        <v>217</v>
      </c>
      <c r="D153" s="300">
        <v>709</v>
      </c>
      <c r="E153" s="302">
        <v>59072</v>
      </c>
      <c r="F153" s="304" t="s">
        <v>218</v>
      </c>
      <c r="G153" s="50" t="s">
        <v>16</v>
      </c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4"/>
      <c r="W153" s="25">
        <f t="shared" si="4"/>
        <v>0</v>
      </c>
    </row>
    <row r="154" spans="1:23" s="66" customFormat="1" ht="16.5" customHeight="1">
      <c r="A154" s="247"/>
      <c r="B154" s="27" t="s">
        <v>219</v>
      </c>
      <c r="C154" s="301"/>
      <c r="D154" s="301"/>
      <c r="E154" s="303"/>
      <c r="F154" s="305"/>
      <c r="G154" s="51">
        <v>0.04235</v>
      </c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9"/>
      <c r="W154" s="30">
        <f t="shared" si="4"/>
        <v>0</v>
      </c>
    </row>
    <row r="155" spans="1:23" s="66" customFormat="1" ht="17.25" customHeight="1">
      <c r="A155" s="246">
        <v>75</v>
      </c>
      <c r="B155" s="22" t="s">
        <v>13</v>
      </c>
      <c r="C155" s="300" t="s">
        <v>154</v>
      </c>
      <c r="D155" s="300">
        <v>710</v>
      </c>
      <c r="E155" s="302">
        <v>680163</v>
      </c>
      <c r="F155" s="304" t="s">
        <v>220</v>
      </c>
      <c r="G155" s="50" t="s">
        <v>16</v>
      </c>
      <c r="H155" s="23">
        <v>11859</v>
      </c>
      <c r="I155" s="23">
        <v>23868</v>
      </c>
      <c r="J155" s="23">
        <v>23868</v>
      </c>
      <c r="K155" s="23">
        <v>23868</v>
      </c>
      <c r="L155" s="23">
        <v>23868</v>
      </c>
      <c r="M155" s="23">
        <v>23868</v>
      </c>
      <c r="N155" s="23">
        <v>23868</v>
      </c>
      <c r="O155" s="23">
        <v>23868</v>
      </c>
      <c r="P155" s="23">
        <v>23868</v>
      </c>
      <c r="Q155" s="23">
        <v>23868</v>
      </c>
      <c r="R155" s="23">
        <v>23868</v>
      </c>
      <c r="S155" s="23">
        <v>23868</v>
      </c>
      <c r="T155" s="23">
        <v>23868</v>
      </c>
      <c r="U155" s="23">
        <v>23868</v>
      </c>
      <c r="V155" s="24">
        <v>358020</v>
      </c>
      <c r="W155" s="25">
        <f t="shared" si="4"/>
        <v>680163</v>
      </c>
    </row>
    <row r="156" spans="1:23" s="66" customFormat="1" ht="15.75" customHeight="1">
      <c r="A156" s="247"/>
      <c r="B156" s="27" t="s">
        <v>221</v>
      </c>
      <c r="C156" s="301"/>
      <c r="D156" s="301"/>
      <c r="E156" s="303"/>
      <c r="F156" s="305"/>
      <c r="G156" s="51">
        <v>0.06352</v>
      </c>
      <c r="H156" s="28">
        <v>42665</v>
      </c>
      <c r="I156" s="28">
        <v>40435</v>
      </c>
      <c r="J156" s="28">
        <v>32485</v>
      </c>
      <c r="K156" s="28">
        <v>25020</v>
      </c>
      <c r="L156" s="28">
        <v>24120</v>
      </c>
      <c r="M156" s="28">
        <v>23085</v>
      </c>
      <c r="N156" s="28">
        <v>22115</v>
      </c>
      <c r="O156" s="28">
        <v>21150</v>
      </c>
      <c r="P156" s="28">
        <v>20235</v>
      </c>
      <c r="Q156" s="28">
        <v>19215</v>
      </c>
      <c r="R156" s="28">
        <v>18245</v>
      </c>
      <c r="S156" s="28">
        <v>17275</v>
      </c>
      <c r="T156" s="28">
        <v>16355</v>
      </c>
      <c r="U156" s="28">
        <v>15340</v>
      </c>
      <c r="V156" s="29">
        <v>113995</v>
      </c>
      <c r="W156" s="30">
        <f t="shared" si="4"/>
        <v>451735</v>
      </c>
    </row>
    <row r="157" spans="1:23" s="66" customFormat="1" ht="11.25" customHeight="1">
      <c r="A157" s="246">
        <v>76</v>
      </c>
      <c r="B157" s="22" t="s">
        <v>13</v>
      </c>
      <c r="C157" s="300" t="s">
        <v>222</v>
      </c>
      <c r="D157" s="300">
        <v>711</v>
      </c>
      <c r="E157" s="302">
        <v>1581646</v>
      </c>
      <c r="F157" s="304" t="s">
        <v>223</v>
      </c>
      <c r="G157" s="50" t="s">
        <v>16</v>
      </c>
      <c r="H157" s="23">
        <v>114788</v>
      </c>
      <c r="I157" s="23">
        <v>153112</v>
      </c>
      <c r="J157" s="23">
        <v>153112</v>
      </c>
      <c r="K157" s="23">
        <v>153112</v>
      </c>
      <c r="L157" s="23">
        <v>93802</v>
      </c>
      <c r="M157" s="23">
        <v>74032</v>
      </c>
      <c r="N157" s="23">
        <v>74032</v>
      </c>
      <c r="O157" s="23">
        <v>74032</v>
      </c>
      <c r="P157" s="23">
        <v>74032</v>
      </c>
      <c r="Q157" s="23">
        <v>40975</v>
      </c>
      <c r="R157" s="23">
        <v>29956</v>
      </c>
      <c r="S157" s="23">
        <v>29956</v>
      </c>
      <c r="T157" s="23">
        <v>29956</v>
      </c>
      <c r="U157" s="23">
        <v>29956</v>
      </c>
      <c r="V157" s="24">
        <v>456793</v>
      </c>
      <c r="W157" s="25">
        <f t="shared" si="4"/>
        <v>1581646</v>
      </c>
    </row>
    <row r="158" spans="1:23" s="66" customFormat="1" ht="11.25">
      <c r="A158" s="247"/>
      <c r="B158" s="27" t="s">
        <v>224</v>
      </c>
      <c r="C158" s="301"/>
      <c r="D158" s="301"/>
      <c r="E158" s="303"/>
      <c r="F158" s="305"/>
      <c r="G158" s="51">
        <v>0.05486</v>
      </c>
      <c r="H158" s="28">
        <v>94885</v>
      </c>
      <c r="I158" s="28">
        <v>82400</v>
      </c>
      <c r="J158" s="28">
        <v>67130</v>
      </c>
      <c r="K158" s="28">
        <v>49170</v>
      </c>
      <c r="L158" s="28">
        <v>40265</v>
      </c>
      <c r="M158" s="28">
        <v>36595</v>
      </c>
      <c r="N158" s="28">
        <v>33595</v>
      </c>
      <c r="O158" s="28">
        <v>30590</v>
      </c>
      <c r="P158" s="28">
        <v>27665</v>
      </c>
      <c r="Q158" s="28">
        <v>24725</v>
      </c>
      <c r="R158" s="28">
        <v>23200</v>
      </c>
      <c r="S158" s="28">
        <v>21985</v>
      </c>
      <c r="T158" s="28">
        <v>20830</v>
      </c>
      <c r="U158" s="28">
        <v>19555</v>
      </c>
      <c r="V158" s="29">
        <v>147820</v>
      </c>
      <c r="W158" s="30">
        <f t="shared" si="4"/>
        <v>720410</v>
      </c>
    </row>
    <row r="159" spans="1:23" s="66" customFormat="1" ht="14.25" customHeight="1">
      <c r="A159" s="277">
        <v>77</v>
      </c>
      <c r="B159" s="22" t="s">
        <v>13</v>
      </c>
      <c r="C159" s="300" t="s">
        <v>225</v>
      </c>
      <c r="D159" s="300">
        <v>712</v>
      </c>
      <c r="E159" s="302">
        <v>134941.01</v>
      </c>
      <c r="F159" s="304" t="s">
        <v>226</v>
      </c>
      <c r="G159" s="50" t="s">
        <v>16</v>
      </c>
      <c r="H159" s="23">
        <v>14080</v>
      </c>
      <c r="I159" s="23">
        <v>14080</v>
      </c>
      <c r="J159" s="23">
        <v>14080</v>
      </c>
      <c r="K159" s="23">
        <v>14080</v>
      </c>
      <c r="L159" s="23">
        <v>14080</v>
      </c>
      <c r="M159" s="23">
        <v>14080</v>
      </c>
      <c r="N159" s="23">
        <v>14080</v>
      </c>
      <c r="O159" s="23">
        <v>14080</v>
      </c>
      <c r="P159" s="23">
        <v>14080</v>
      </c>
      <c r="Q159" s="23">
        <v>3512.92</v>
      </c>
      <c r="R159" s="23"/>
      <c r="S159" s="23"/>
      <c r="T159" s="23"/>
      <c r="U159" s="23"/>
      <c r="V159" s="24"/>
      <c r="W159" s="25">
        <f t="shared" si="4"/>
        <v>130232.92</v>
      </c>
    </row>
    <row r="160" spans="1:23" s="66" customFormat="1" ht="11.25">
      <c r="A160" s="278"/>
      <c r="B160" s="27" t="s">
        <v>227</v>
      </c>
      <c r="C160" s="301"/>
      <c r="D160" s="301"/>
      <c r="E160" s="303"/>
      <c r="F160" s="305"/>
      <c r="G160" s="51">
        <v>0.04988</v>
      </c>
      <c r="H160" s="28">
        <v>6845</v>
      </c>
      <c r="I160" s="28">
        <v>6135</v>
      </c>
      <c r="J160" s="28">
        <v>5065</v>
      </c>
      <c r="K160" s="28">
        <v>3935</v>
      </c>
      <c r="L160" s="28">
        <v>2920</v>
      </c>
      <c r="M160" s="28">
        <v>2340</v>
      </c>
      <c r="N160" s="28">
        <v>1770</v>
      </c>
      <c r="O160" s="28">
        <v>1200</v>
      </c>
      <c r="P160" s="28">
        <v>630</v>
      </c>
      <c r="Q160" s="28">
        <v>100</v>
      </c>
      <c r="R160" s="28"/>
      <c r="S160" s="28"/>
      <c r="T160" s="28"/>
      <c r="U160" s="28"/>
      <c r="V160" s="29"/>
      <c r="W160" s="30">
        <f t="shared" si="4"/>
        <v>30940</v>
      </c>
    </row>
    <row r="161" spans="1:23" s="66" customFormat="1" ht="18.75" customHeight="1">
      <c r="A161" s="246">
        <v>78</v>
      </c>
      <c r="B161" s="22" t="s">
        <v>13</v>
      </c>
      <c r="C161" s="300" t="s">
        <v>181</v>
      </c>
      <c r="D161" s="300">
        <v>713</v>
      </c>
      <c r="E161" s="302">
        <v>26000</v>
      </c>
      <c r="F161" s="304" t="s">
        <v>228</v>
      </c>
      <c r="G161" s="50" t="s">
        <v>16</v>
      </c>
      <c r="H161" s="23">
        <v>6120</v>
      </c>
      <c r="I161" s="23">
        <v>6120</v>
      </c>
      <c r="J161" s="23">
        <v>6120</v>
      </c>
      <c r="K161" s="23">
        <v>6120</v>
      </c>
      <c r="L161" s="23">
        <v>1520</v>
      </c>
      <c r="M161" s="23"/>
      <c r="N161" s="75"/>
      <c r="O161" s="75"/>
      <c r="P161" s="75"/>
      <c r="Q161" s="75"/>
      <c r="R161" s="75"/>
      <c r="S161" s="23"/>
      <c r="T161" s="23"/>
      <c r="U161" s="23"/>
      <c r="V161" s="23"/>
      <c r="W161" s="25">
        <f t="shared" si="4"/>
        <v>26000</v>
      </c>
    </row>
    <row r="162" spans="1:23" s="66" customFormat="1" ht="15.75" customHeight="1">
      <c r="A162" s="247"/>
      <c r="B162" s="27" t="s">
        <v>229</v>
      </c>
      <c r="C162" s="301"/>
      <c r="D162" s="301"/>
      <c r="E162" s="303"/>
      <c r="F162" s="305"/>
      <c r="G162" s="51">
        <v>0.04571</v>
      </c>
      <c r="H162" s="28">
        <v>1225</v>
      </c>
      <c r="I162" s="28">
        <v>985</v>
      </c>
      <c r="J162" s="28">
        <v>650</v>
      </c>
      <c r="K162" s="28">
        <v>315</v>
      </c>
      <c r="L162" s="28">
        <v>45</v>
      </c>
      <c r="M162" s="28"/>
      <c r="N162" s="77"/>
      <c r="O162" s="77"/>
      <c r="P162" s="77"/>
      <c r="Q162" s="77"/>
      <c r="R162" s="77"/>
      <c r="S162" s="28"/>
      <c r="T162" s="28"/>
      <c r="U162" s="28"/>
      <c r="V162" s="28"/>
      <c r="W162" s="30">
        <f t="shared" si="4"/>
        <v>3220</v>
      </c>
    </row>
    <row r="163" spans="1:23" s="66" customFormat="1" ht="19.5" customHeight="1">
      <c r="A163" s="277">
        <v>79</v>
      </c>
      <c r="B163" s="22" t="s">
        <v>13</v>
      </c>
      <c r="C163" s="300" t="s">
        <v>230</v>
      </c>
      <c r="D163" s="300">
        <v>714</v>
      </c>
      <c r="E163" s="302">
        <f>132405-49291.87</f>
        <v>83113.13</v>
      </c>
      <c r="F163" s="304" t="s">
        <v>231</v>
      </c>
      <c r="G163" s="50" t="s">
        <v>16</v>
      </c>
      <c r="H163" s="23">
        <v>0</v>
      </c>
      <c r="I163" s="23">
        <v>0</v>
      </c>
      <c r="J163" s="23">
        <v>7556</v>
      </c>
      <c r="K163" s="23">
        <v>7556</v>
      </c>
      <c r="L163" s="23">
        <v>7556</v>
      </c>
      <c r="M163" s="23">
        <v>7556</v>
      </c>
      <c r="N163" s="23">
        <v>7556</v>
      </c>
      <c r="O163" s="23">
        <v>7556</v>
      </c>
      <c r="P163" s="23">
        <v>7556</v>
      </c>
      <c r="Q163" s="23">
        <v>7556</v>
      </c>
      <c r="R163" s="23">
        <v>7556</v>
      </c>
      <c r="S163" s="23">
        <v>7556</v>
      </c>
      <c r="T163" s="52">
        <v>7553.13</v>
      </c>
      <c r="U163" s="23"/>
      <c r="V163" s="23"/>
      <c r="W163" s="25">
        <f t="shared" si="4"/>
        <v>83113.13</v>
      </c>
    </row>
    <row r="164" spans="1:23" s="66" customFormat="1" ht="15.75" customHeight="1">
      <c r="A164" s="278"/>
      <c r="B164" s="27" t="s">
        <v>232</v>
      </c>
      <c r="C164" s="301"/>
      <c r="D164" s="301"/>
      <c r="E164" s="303"/>
      <c r="F164" s="305"/>
      <c r="G164" s="51">
        <v>0.05411</v>
      </c>
      <c r="H164" s="28">
        <v>4655</v>
      </c>
      <c r="I164" s="28">
        <v>4465</v>
      </c>
      <c r="J164" s="28">
        <v>4135</v>
      </c>
      <c r="K164" s="28">
        <v>3405</v>
      </c>
      <c r="L164" s="28">
        <v>2720</v>
      </c>
      <c r="M164" s="28">
        <v>2405</v>
      </c>
      <c r="N164" s="28">
        <v>2100</v>
      </c>
      <c r="O164" s="28">
        <v>1795</v>
      </c>
      <c r="P164" s="28">
        <v>1490</v>
      </c>
      <c r="Q164" s="28">
        <v>1180</v>
      </c>
      <c r="R164" s="28">
        <v>875</v>
      </c>
      <c r="S164" s="28">
        <v>570</v>
      </c>
      <c r="T164" s="28">
        <v>260</v>
      </c>
      <c r="U164" s="28">
        <v>20</v>
      </c>
      <c r="V164" s="28"/>
      <c r="W164" s="30">
        <f t="shared" si="4"/>
        <v>30075</v>
      </c>
    </row>
    <row r="165" spans="1:23" s="66" customFormat="1" ht="19.5" customHeight="1">
      <c r="A165" s="277">
        <v>80</v>
      </c>
      <c r="B165" s="22" t="s">
        <v>13</v>
      </c>
      <c r="C165" s="300" t="s">
        <v>233</v>
      </c>
      <c r="D165" s="300">
        <v>715</v>
      </c>
      <c r="E165" s="302">
        <v>579626</v>
      </c>
      <c r="F165" s="304" t="s">
        <v>234</v>
      </c>
      <c r="G165" s="50" t="s">
        <v>16</v>
      </c>
      <c r="H165" s="23"/>
      <c r="I165" s="23"/>
      <c r="J165" s="23">
        <v>33132</v>
      </c>
      <c r="K165" s="23">
        <v>33132</v>
      </c>
      <c r="L165" s="23">
        <v>33132</v>
      </c>
      <c r="M165" s="23">
        <v>33132</v>
      </c>
      <c r="N165" s="23">
        <v>33132</v>
      </c>
      <c r="O165" s="23">
        <v>33132</v>
      </c>
      <c r="P165" s="23">
        <v>33132</v>
      </c>
      <c r="Q165" s="23">
        <v>33132</v>
      </c>
      <c r="R165" s="23">
        <v>33132</v>
      </c>
      <c r="S165" s="23">
        <v>33132</v>
      </c>
      <c r="T165" s="23">
        <v>33132</v>
      </c>
      <c r="U165" s="23">
        <v>33132</v>
      </c>
      <c r="V165" s="52">
        <v>173894.23</v>
      </c>
      <c r="W165" s="25">
        <f t="shared" si="4"/>
        <v>571478.23</v>
      </c>
    </row>
    <row r="166" spans="1:23" s="66" customFormat="1" ht="15.75" customHeight="1">
      <c r="A166" s="278"/>
      <c r="B166" s="27" t="s">
        <v>235</v>
      </c>
      <c r="C166" s="301"/>
      <c r="D166" s="301"/>
      <c r="E166" s="303"/>
      <c r="F166" s="305"/>
      <c r="G166" s="51">
        <v>0.05411</v>
      </c>
      <c r="H166" s="28">
        <v>33150</v>
      </c>
      <c r="I166" s="28">
        <v>33315</v>
      </c>
      <c r="J166" s="28">
        <v>30065</v>
      </c>
      <c r="K166" s="28">
        <v>24365</v>
      </c>
      <c r="L166" s="28">
        <v>20340</v>
      </c>
      <c r="M166" s="28">
        <v>18940</v>
      </c>
      <c r="N166" s="28">
        <v>17595</v>
      </c>
      <c r="O166" s="28">
        <v>16255</v>
      </c>
      <c r="P166" s="28">
        <v>14950</v>
      </c>
      <c r="Q166" s="28">
        <v>13565</v>
      </c>
      <c r="R166" s="28">
        <v>12225</v>
      </c>
      <c r="S166" s="28">
        <v>10880</v>
      </c>
      <c r="T166" s="28">
        <v>9560</v>
      </c>
      <c r="U166" s="28">
        <v>8190</v>
      </c>
      <c r="V166" s="28">
        <v>21035</v>
      </c>
      <c r="W166" s="30">
        <f t="shared" si="4"/>
        <v>284430</v>
      </c>
    </row>
    <row r="167" spans="1:23" s="66" customFormat="1" ht="15" customHeight="1">
      <c r="A167" s="246">
        <v>81</v>
      </c>
      <c r="B167" s="22" t="s">
        <v>13</v>
      </c>
      <c r="C167" s="306" t="s">
        <v>154</v>
      </c>
      <c r="D167" s="306">
        <v>716</v>
      </c>
      <c r="E167" s="308">
        <f>259372-5070.27</f>
        <v>254301.73</v>
      </c>
      <c r="F167" s="261" t="s">
        <v>236</v>
      </c>
      <c r="G167" s="50" t="s">
        <v>16</v>
      </c>
      <c r="H167" s="80">
        <v>11164</v>
      </c>
      <c r="I167" s="81">
        <v>22328</v>
      </c>
      <c r="J167" s="81">
        <v>22328</v>
      </c>
      <c r="K167" s="81">
        <v>22328</v>
      </c>
      <c r="L167" s="81">
        <v>22328</v>
      </c>
      <c r="M167" s="81">
        <v>22328</v>
      </c>
      <c r="N167" s="81">
        <v>22328</v>
      </c>
      <c r="O167" s="81">
        <v>22328</v>
      </c>
      <c r="P167" s="81">
        <v>22328</v>
      </c>
      <c r="Q167" s="81">
        <v>11152.01</v>
      </c>
      <c r="R167" s="81"/>
      <c r="S167" s="81"/>
      <c r="T167" s="81"/>
      <c r="U167" s="81"/>
      <c r="V167" s="82"/>
      <c r="W167" s="25">
        <f t="shared" si="4"/>
        <v>200940.01</v>
      </c>
    </row>
    <row r="168" spans="1:23" s="66" customFormat="1" ht="17.25" customHeight="1">
      <c r="A168" s="247"/>
      <c r="B168" s="27" t="s">
        <v>237</v>
      </c>
      <c r="C168" s="307"/>
      <c r="D168" s="307"/>
      <c r="E168" s="309"/>
      <c r="F168" s="249"/>
      <c r="G168" s="51">
        <v>0.05097</v>
      </c>
      <c r="H168" s="83">
        <v>11090</v>
      </c>
      <c r="I168" s="83">
        <v>9935</v>
      </c>
      <c r="J168" s="83">
        <v>8315</v>
      </c>
      <c r="K168" s="83">
        <v>6495</v>
      </c>
      <c r="L168" s="83">
        <v>4855</v>
      </c>
      <c r="M168" s="83">
        <v>3935</v>
      </c>
      <c r="N168" s="83">
        <v>3030</v>
      </c>
      <c r="O168" s="83">
        <v>2125</v>
      </c>
      <c r="P168" s="83">
        <v>1225</v>
      </c>
      <c r="Q168" s="83">
        <v>320</v>
      </c>
      <c r="R168" s="83"/>
      <c r="S168" s="83"/>
      <c r="T168" s="83"/>
      <c r="U168" s="83"/>
      <c r="V168" s="84"/>
      <c r="W168" s="30">
        <f t="shared" si="4"/>
        <v>51325</v>
      </c>
    </row>
    <row r="169" spans="1:23" s="66" customFormat="1" ht="11.25">
      <c r="A169" s="277">
        <v>82</v>
      </c>
      <c r="B169" s="22" t="s">
        <v>13</v>
      </c>
      <c r="C169" s="300" t="s">
        <v>222</v>
      </c>
      <c r="D169" s="300">
        <v>717</v>
      </c>
      <c r="E169" s="302">
        <v>699058.17</v>
      </c>
      <c r="F169" s="304" t="s">
        <v>238</v>
      </c>
      <c r="G169" s="50" t="s">
        <v>16</v>
      </c>
      <c r="H169" s="81">
        <v>27568</v>
      </c>
      <c r="I169" s="80">
        <v>107484</v>
      </c>
      <c r="J169" s="81">
        <v>107484</v>
      </c>
      <c r="K169" s="81">
        <v>107484</v>
      </c>
      <c r="L169" s="81">
        <v>36544</v>
      </c>
      <c r="M169" s="81">
        <v>12892</v>
      </c>
      <c r="N169" s="81">
        <v>12892</v>
      </c>
      <c r="O169" s="81">
        <v>12892</v>
      </c>
      <c r="P169" s="81">
        <v>12892</v>
      </c>
      <c r="Q169" s="81">
        <v>12892</v>
      </c>
      <c r="R169" s="81">
        <v>12892</v>
      </c>
      <c r="S169" s="81">
        <v>12892</v>
      </c>
      <c r="T169" s="81">
        <v>12892</v>
      </c>
      <c r="U169" s="81">
        <v>12892</v>
      </c>
      <c r="V169" s="81">
        <v>196466.17</v>
      </c>
      <c r="W169" s="25">
        <f t="shared" si="4"/>
        <v>699058.17</v>
      </c>
    </row>
    <row r="170" spans="1:23" s="66" customFormat="1" ht="11.25">
      <c r="A170" s="278"/>
      <c r="B170" s="27" t="s">
        <v>239</v>
      </c>
      <c r="C170" s="301"/>
      <c r="D170" s="301"/>
      <c r="E170" s="303"/>
      <c r="F170" s="305"/>
      <c r="G170" s="51">
        <v>0.06036</v>
      </c>
      <c r="H170" s="83">
        <v>43715</v>
      </c>
      <c r="I170" s="83">
        <v>39052</v>
      </c>
      <c r="J170" s="83">
        <v>29205</v>
      </c>
      <c r="K170" s="83">
        <v>20205</v>
      </c>
      <c r="L170" s="83">
        <v>13820</v>
      </c>
      <c r="M170" s="83">
        <v>12595</v>
      </c>
      <c r="N170" s="83">
        <v>12070</v>
      </c>
      <c r="O170" s="83">
        <v>11550</v>
      </c>
      <c r="P170" s="83">
        <v>11055</v>
      </c>
      <c r="Q170" s="83">
        <v>10505</v>
      </c>
      <c r="R170" s="83">
        <v>9980</v>
      </c>
      <c r="S170" s="83">
        <v>9460</v>
      </c>
      <c r="T170" s="83">
        <v>8960</v>
      </c>
      <c r="U170" s="83">
        <v>8415</v>
      </c>
      <c r="V170" s="83">
        <v>63550</v>
      </c>
      <c r="W170" s="30">
        <f t="shared" si="4"/>
        <v>304137</v>
      </c>
    </row>
    <row r="171" spans="1:23" s="66" customFormat="1" ht="11.25" customHeight="1">
      <c r="A171" s="277">
        <v>83</v>
      </c>
      <c r="B171" s="22" t="s">
        <v>13</v>
      </c>
      <c r="C171" s="300" t="s">
        <v>240</v>
      </c>
      <c r="D171" s="306">
        <v>718</v>
      </c>
      <c r="E171" s="308">
        <v>741015</v>
      </c>
      <c r="F171" s="261" t="s">
        <v>241</v>
      </c>
      <c r="G171" s="50" t="s">
        <v>16</v>
      </c>
      <c r="H171" s="80"/>
      <c r="I171" s="81"/>
      <c r="J171" s="81">
        <v>2000</v>
      </c>
      <c r="K171" s="81">
        <v>37900</v>
      </c>
      <c r="L171" s="81">
        <v>37900</v>
      </c>
      <c r="M171" s="81">
        <v>37900</v>
      </c>
      <c r="N171" s="81">
        <v>37900</v>
      </c>
      <c r="O171" s="81">
        <v>37900</v>
      </c>
      <c r="P171" s="81">
        <v>37900</v>
      </c>
      <c r="Q171" s="81">
        <v>37900</v>
      </c>
      <c r="R171" s="81">
        <v>37900</v>
      </c>
      <c r="S171" s="81">
        <v>37900</v>
      </c>
      <c r="T171" s="81">
        <v>37900</v>
      </c>
      <c r="U171" s="81">
        <v>37900</v>
      </c>
      <c r="V171" s="82">
        <v>322115</v>
      </c>
      <c r="W171" s="25">
        <f t="shared" si="4"/>
        <v>741015</v>
      </c>
    </row>
    <row r="172" spans="1:23" s="66" customFormat="1" ht="11.25">
      <c r="A172" s="278"/>
      <c r="B172" s="27" t="s">
        <v>242</v>
      </c>
      <c r="C172" s="301"/>
      <c r="D172" s="307"/>
      <c r="E172" s="309"/>
      <c r="F172" s="249"/>
      <c r="G172" s="51">
        <v>0.05668</v>
      </c>
      <c r="H172" s="83">
        <v>42315</v>
      </c>
      <c r="I172" s="83">
        <v>41325</v>
      </c>
      <c r="J172" s="83">
        <v>38475</v>
      </c>
      <c r="K172" s="83">
        <v>29660</v>
      </c>
      <c r="L172" s="83">
        <v>28280</v>
      </c>
      <c r="M172" s="83">
        <v>26665</v>
      </c>
      <c r="N172" s="83">
        <v>25125</v>
      </c>
      <c r="O172" s="83">
        <v>23590</v>
      </c>
      <c r="P172" s="83">
        <v>22115</v>
      </c>
      <c r="Q172" s="83">
        <v>20515</v>
      </c>
      <c r="R172" s="83">
        <v>18975</v>
      </c>
      <c r="S172" s="83">
        <v>17440</v>
      </c>
      <c r="T172" s="83">
        <v>15950</v>
      </c>
      <c r="U172" s="83">
        <v>14365</v>
      </c>
      <c r="V172" s="84">
        <v>60170</v>
      </c>
      <c r="W172" s="30">
        <f t="shared" si="4"/>
        <v>424965</v>
      </c>
    </row>
    <row r="173" spans="1:23" s="66" customFormat="1" ht="11.25" customHeight="1">
      <c r="A173" s="246">
        <v>84</v>
      </c>
      <c r="B173" s="22" t="s">
        <v>13</v>
      </c>
      <c r="C173" s="306" t="s">
        <v>243</v>
      </c>
      <c r="D173" s="306">
        <v>719</v>
      </c>
      <c r="E173" s="308">
        <v>700000</v>
      </c>
      <c r="F173" s="261" t="s">
        <v>244</v>
      </c>
      <c r="G173" s="50" t="s">
        <v>16</v>
      </c>
      <c r="H173" s="80"/>
      <c r="I173" s="81"/>
      <c r="J173" s="81">
        <v>6500</v>
      </c>
      <c r="K173" s="81">
        <v>20000</v>
      </c>
      <c r="L173" s="81">
        <v>26412</v>
      </c>
      <c r="M173" s="81">
        <v>26412</v>
      </c>
      <c r="N173" s="81">
        <v>26412</v>
      </c>
      <c r="O173" s="81">
        <v>26412</v>
      </c>
      <c r="P173" s="81">
        <v>26412</v>
      </c>
      <c r="Q173" s="81">
        <v>26412</v>
      </c>
      <c r="R173" s="81">
        <v>26412</v>
      </c>
      <c r="S173" s="81">
        <v>26412</v>
      </c>
      <c r="T173" s="81">
        <v>26412</v>
      </c>
      <c r="U173" s="81">
        <v>26412</v>
      </c>
      <c r="V173" s="82">
        <v>409380</v>
      </c>
      <c r="W173" s="25">
        <f t="shared" si="4"/>
        <v>700000</v>
      </c>
    </row>
    <row r="174" spans="1:23" s="66" customFormat="1" ht="11.25">
      <c r="A174" s="247"/>
      <c r="B174" s="27" t="s">
        <v>245</v>
      </c>
      <c r="C174" s="307"/>
      <c r="D174" s="307"/>
      <c r="E174" s="309"/>
      <c r="F174" s="249"/>
      <c r="G174" s="51">
        <v>0.05828</v>
      </c>
      <c r="H174" s="83">
        <v>40890</v>
      </c>
      <c r="I174" s="83">
        <v>39035</v>
      </c>
      <c r="J174" s="83">
        <v>36340</v>
      </c>
      <c r="K174" s="83">
        <v>27985</v>
      </c>
      <c r="L174" s="83">
        <v>27210</v>
      </c>
      <c r="M174" s="83">
        <v>26080</v>
      </c>
      <c r="N174" s="83">
        <v>25010</v>
      </c>
      <c r="O174" s="83">
        <v>23940</v>
      </c>
      <c r="P174" s="83">
        <v>22930</v>
      </c>
      <c r="Q174" s="83">
        <v>21795</v>
      </c>
      <c r="R174" s="83">
        <v>20725</v>
      </c>
      <c r="S174" s="83">
        <v>19655</v>
      </c>
      <c r="T174" s="83">
        <v>18635</v>
      </c>
      <c r="U174" s="83">
        <v>17510</v>
      </c>
      <c r="V174" s="84">
        <v>134590</v>
      </c>
      <c r="W174" s="30">
        <f t="shared" si="4"/>
        <v>502330</v>
      </c>
    </row>
    <row r="175" spans="1:23" s="66" customFormat="1" ht="11.25" customHeight="1">
      <c r="A175" s="246">
        <v>85</v>
      </c>
      <c r="B175" s="22" t="s">
        <v>13</v>
      </c>
      <c r="C175" s="306" t="s">
        <v>246</v>
      </c>
      <c r="D175" s="306">
        <v>720</v>
      </c>
      <c r="E175" s="308">
        <v>6035628</v>
      </c>
      <c r="F175" s="261" t="s">
        <v>247</v>
      </c>
      <c r="G175" s="50" t="s">
        <v>16</v>
      </c>
      <c r="H175" s="80"/>
      <c r="I175" s="81"/>
      <c r="J175" s="81">
        <v>5000</v>
      </c>
      <c r="K175" s="81">
        <v>60000</v>
      </c>
      <c r="L175" s="81">
        <v>140000</v>
      </c>
      <c r="M175" s="81">
        <v>219388</v>
      </c>
      <c r="N175" s="81">
        <v>238776</v>
      </c>
      <c r="O175" s="81">
        <v>238776</v>
      </c>
      <c r="P175" s="81">
        <v>238776</v>
      </c>
      <c r="Q175" s="81">
        <v>238776</v>
      </c>
      <c r="R175" s="81">
        <v>238776</v>
      </c>
      <c r="S175" s="81">
        <v>238776</v>
      </c>
      <c r="T175" s="81">
        <v>238776</v>
      </c>
      <c r="U175" s="81">
        <v>238776</v>
      </c>
      <c r="V175" s="82">
        <v>3701032</v>
      </c>
      <c r="W175" s="25">
        <f t="shared" si="4"/>
        <v>6035628</v>
      </c>
    </row>
    <row r="176" spans="1:23" s="66" customFormat="1" ht="11.25">
      <c r="A176" s="247"/>
      <c r="B176" s="27" t="s">
        <v>248</v>
      </c>
      <c r="C176" s="307"/>
      <c r="D176" s="307"/>
      <c r="E176" s="309"/>
      <c r="F176" s="249"/>
      <c r="G176" s="51">
        <v>0.05668</v>
      </c>
      <c r="H176" s="83">
        <v>345210</v>
      </c>
      <c r="I176" s="83">
        <v>336575</v>
      </c>
      <c r="J176" s="83">
        <v>313425</v>
      </c>
      <c r="K176" s="83">
        <v>244250</v>
      </c>
      <c r="L176" s="83">
        <v>241955</v>
      </c>
      <c r="M176" s="83">
        <v>235115</v>
      </c>
      <c r="N176" s="83">
        <v>226075</v>
      </c>
      <c r="O176" s="83">
        <v>216395</v>
      </c>
      <c r="P176" s="83">
        <v>207280</v>
      </c>
      <c r="Q176" s="83">
        <v>197025</v>
      </c>
      <c r="R176" s="83">
        <v>187340</v>
      </c>
      <c r="S176" s="83">
        <v>177660</v>
      </c>
      <c r="T176" s="83">
        <v>168440</v>
      </c>
      <c r="U176" s="83">
        <v>158290</v>
      </c>
      <c r="V176" s="84">
        <v>1216600</v>
      </c>
      <c r="W176" s="30">
        <f t="shared" si="4"/>
        <v>4471635</v>
      </c>
    </row>
    <row r="177" spans="1:23" s="66" customFormat="1" ht="11.25" customHeight="1">
      <c r="A177" s="246">
        <v>86</v>
      </c>
      <c r="B177" s="22" t="s">
        <v>13</v>
      </c>
      <c r="C177" s="310" t="s">
        <v>249</v>
      </c>
      <c r="D177" s="300">
        <v>721</v>
      </c>
      <c r="E177" s="302">
        <v>1689037</v>
      </c>
      <c r="F177" s="261" t="s">
        <v>247</v>
      </c>
      <c r="G177" s="50" t="s">
        <v>16</v>
      </c>
      <c r="H177" s="80"/>
      <c r="I177" s="81"/>
      <c r="J177" s="81">
        <v>46065</v>
      </c>
      <c r="K177" s="81">
        <v>61420</v>
      </c>
      <c r="L177" s="81">
        <v>61420</v>
      </c>
      <c r="M177" s="81">
        <v>61420</v>
      </c>
      <c r="N177" s="81">
        <v>61420</v>
      </c>
      <c r="O177" s="81">
        <v>61420</v>
      </c>
      <c r="P177" s="81">
        <v>61420</v>
      </c>
      <c r="Q177" s="81">
        <v>61420</v>
      </c>
      <c r="R177" s="81">
        <v>61420</v>
      </c>
      <c r="S177" s="81">
        <v>61420</v>
      </c>
      <c r="T177" s="81">
        <v>61420</v>
      </c>
      <c r="U177" s="81">
        <v>61420</v>
      </c>
      <c r="V177" s="82">
        <v>967352</v>
      </c>
      <c r="W177" s="25">
        <f t="shared" si="4"/>
        <v>1689037</v>
      </c>
    </row>
    <row r="178" spans="1:23" s="66" customFormat="1" ht="11.25">
      <c r="A178" s="247"/>
      <c r="B178" s="27" t="s">
        <v>250</v>
      </c>
      <c r="C178" s="311"/>
      <c r="D178" s="301"/>
      <c r="E178" s="303"/>
      <c r="F178" s="249"/>
      <c r="G178" s="51">
        <v>0.05626</v>
      </c>
      <c r="H178" s="83">
        <v>88490</v>
      </c>
      <c r="I178" s="83">
        <v>94190</v>
      </c>
      <c r="J178" s="83">
        <v>87520</v>
      </c>
      <c r="K178" s="83">
        <v>66250</v>
      </c>
      <c r="L178" s="83">
        <v>63935</v>
      </c>
      <c r="M178" s="83">
        <v>61270</v>
      </c>
      <c r="N178" s="83">
        <v>58780</v>
      </c>
      <c r="O178" s="83">
        <v>56285</v>
      </c>
      <c r="P178" s="83">
        <v>53945</v>
      </c>
      <c r="Q178" s="83">
        <v>51305</v>
      </c>
      <c r="R178" s="83">
        <v>48815</v>
      </c>
      <c r="S178" s="83">
        <v>46325</v>
      </c>
      <c r="T178" s="83">
        <v>43955</v>
      </c>
      <c r="U178" s="83">
        <v>41340</v>
      </c>
      <c r="V178" s="84">
        <v>322865</v>
      </c>
      <c r="W178" s="30">
        <f t="shared" si="4"/>
        <v>1185270</v>
      </c>
    </row>
    <row r="179" spans="1:23" s="66" customFormat="1" ht="11.25" customHeight="1">
      <c r="A179" s="246">
        <v>87</v>
      </c>
      <c r="B179" s="22" t="s">
        <v>13</v>
      </c>
      <c r="C179" s="306" t="s">
        <v>195</v>
      </c>
      <c r="D179" s="306" t="s">
        <v>251</v>
      </c>
      <c r="E179" s="308">
        <v>115654</v>
      </c>
      <c r="F179" s="261" t="s">
        <v>252</v>
      </c>
      <c r="G179" s="50" t="s">
        <v>16</v>
      </c>
      <c r="H179" s="80"/>
      <c r="I179" s="81"/>
      <c r="J179" s="81">
        <v>2124</v>
      </c>
      <c r="K179" s="81">
        <v>4248</v>
      </c>
      <c r="L179" s="81">
        <v>4248</v>
      </c>
      <c r="M179" s="81">
        <v>4248</v>
      </c>
      <c r="N179" s="81">
        <v>4248</v>
      </c>
      <c r="O179" s="81">
        <v>4248</v>
      </c>
      <c r="P179" s="81">
        <v>4248</v>
      </c>
      <c r="Q179" s="81">
        <v>4248</v>
      </c>
      <c r="R179" s="81">
        <v>4248</v>
      </c>
      <c r="S179" s="81">
        <v>4248</v>
      </c>
      <c r="T179" s="81">
        <v>4248</v>
      </c>
      <c r="U179" s="81">
        <v>4248</v>
      </c>
      <c r="V179" s="82">
        <v>66802</v>
      </c>
      <c r="W179" s="25">
        <f t="shared" si="4"/>
        <v>115654</v>
      </c>
    </row>
    <row r="180" spans="1:23" s="66" customFormat="1" ht="11.25">
      <c r="A180" s="247"/>
      <c r="B180" s="27" t="s">
        <v>253</v>
      </c>
      <c r="C180" s="307"/>
      <c r="D180" s="307"/>
      <c r="E180" s="309"/>
      <c r="F180" s="249"/>
      <c r="G180" s="51" t="s">
        <v>254</v>
      </c>
      <c r="H180" s="83">
        <v>5765</v>
      </c>
      <c r="I180" s="83">
        <v>5910</v>
      </c>
      <c r="J180" s="83">
        <v>5910</v>
      </c>
      <c r="K180" s="83">
        <v>5770</v>
      </c>
      <c r="L180" s="83">
        <v>5570</v>
      </c>
      <c r="M180" s="83">
        <v>5335</v>
      </c>
      <c r="N180" s="83">
        <v>5120</v>
      </c>
      <c r="O180" s="83">
        <v>4900</v>
      </c>
      <c r="P180" s="83">
        <v>4700</v>
      </c>
      <c r="Q180" s="83">
        <v>4470</v>
      </c>
      <c r="R180" s="83">
        <v>4250</v>
      </c>
      <c r="S180" s="83">
        <v>4035</v>
      </c>
      <c r="T180" s="83">
        <v>3825</v>
      </c>
      <c r="U180" s="83">
        <v>3600</v>
      </c>
      <c r="V180" s="84">
        <v>28055</v>
      </c>
      <c r="W180" s="30">
        <f t="shared" si="4"/>
        <v>97215</v>
      </c>
    </row>
    <row r="181" spans="1:23" s="66" customFormat="1" ht="11.25">
      <c r="A181" s="246">
        <v>88</v>
      </c>
      <c r="B181" s="22" t="s">
        <v>13</v>
      </c>
      <c r="C181" s="306" t="s">
        <v>255</v>
      </c>
      <c r="D181" s="306" t="s">
        <v>256</v>
      </c>
      <c r="E181" s="308">
        <v>196827</v>
      </c>
      <c r="F181" s="261" t="s">
        <v>252</v>
      </c>
      <c r="G181" s="50" t="s">
        <v>16</v>
      </c>
      <c r="H181" s="80"/>
      <c r="I181" s="81"/>
      <c r="J181" s="81">
        <v>8034</v>
      </c>
      <c r="K181" s="81">
        <v>16068</v>
      </c>
      <c r="L181" s="81">
        <v>16068</v>
      </c>
      <c r="M181" s="81">
        <v>16068</v>
      </c>
      <c r="N181" s="81">
        <v>16068</v>
      </c>
      <c r="O181" s="81">
        <v>16068</v>
      </c>
      <c r="P181" s="81">
        <v>16068</v>
      </c>
      <c r="Q181" s="81">
        <v>16068</v>
      </c>
      <c r="R181" s="81">
        <v>16068</v>
      </c>
      <c r="S181" s="81">
        <v>16068</v>
      </c>
      <c r="T181" s="81">
        <v>16068</v>
      </c>
      <c r="U181" s="81">
        <v>16068</v>
      </c>
      <c r="V181" s="82">
        <v>12045</v>
      </c>
      <c r="W181" s="25">
        <f t="shared" si="4"/>
        <v>196827</v>
      </c>
    </row>
    <row r="182" spans="1:23" s="66" customFormat="1" ht="11.25">
      <c r="A182" s="247"/>
      <c r="B182" s="27" t="s">
        <v>257</v>
      </c>
      <c r="C182" s="307"/>
      <c r="D182" s="307"/>
      <c r="E182" s="309"/>
      <c r="F182" s="249"/>
      <c r="G182" s="51">
        <v>0.04694</v>
      </c>
      <c r="H182" s="83">
        <v>9395</v>
      </c>
      <c r="I182" s="83">
        <v>9370</v>
      </c>
      <c r="J182" s="83">
        <v>9365</v>
      </c>
      <c r="K182" s="83">
        <v>8870</v>
      </c>
      <c r="L182" s="83">
        <v>8125</v>
      </c>
      <c r="M182" s="83">
        <v>7340</v>
      </c>
      <c r="N182" s="83">
        <v>6575</v>
      </c>
      <c r="O182" s="83">
        <v>5810</v>
      </c>
      <c r="P182" s="83">
        <v>5060</v>
      </c>
      <c r="Q182" s="83">
        <v>4280</v>
      </c>
      <c r="R182" s="83">
        <v>3515</v>
      </c>
      <c r="S182" s="83">
        <v>2750</v>
      </c>
      <c r="T182" s="83">
        <v>1995</v>
      </c>
      <c r="U182" s="83">
        <v>1225</v>
      </c>
      <c r="V182" s="84">
        <v>450</v>
      </c>
      <c r="W182" s="30">
        <f t="shared" si="4"/>
        <v>84125</v>
      </c>
    </row>
    <row r="183" spans="1:23" s="66" customFormat="1" ht="11.25" customHeight="1">
      <c r="A183" s="246">
        <v>89</v>
      </c>
      <c r="B183" s="22" t="s">
        <v>13</v>
      </c>
      <c r="C183" s="300" t="s">
        <v>258</v>
      </c>
      <c r="D183" s="306" t="s">
        <v>259</v>
      </c>
      <c r="E183" s="308">
        <v>369620</v>
      </c>
      <c r="F183" s="261" t="s">
        <v>260</v>
      </c>
      <c r="G183" s="50" t="s">
        <v>16</v>
      </c>
      <c r="H183" s="81"/>
      <c r="I183" s="80"/>
      <c r="J183" s="81">
        <v>12630</v>
      </c>
      <c r="K183" s="81">
        <v>25260</v>
      </c>
      <c r="L183" s="81">
        <v>25260</v>
      </c>
      <c r="M183" s="81">
        <v>25260</v>
      </c>
      <c r="N183" s="81">
        <v>25260</v>
      </c>
      <c r="O183" s="81">
        <v>25260</v>
      </c>
      <c r="P183" s="81">
        <v>25260</v>
      </c>
      <c r="Q183" s="81">
        <v>23494</v>
      </c>
      <c r="R183" s="81">
        <v>18196</v>
      </c>
      <c r="S183" s="81">
        <v>18196</v>
      </c>
      <c r="T183" s="81">
        <v>18196</v>
      </c>
      <c r="U183" s="81">
        <v>18196</v>
      </c>
      <c r="V183" s="81">
        <v>109152</v>
      </c>
      <c r="W183" s="25">
        <f t="shared" si="4"/>
        <v>369620</v>
      </c>
    </row>
    <row r="184" spans="1:23" s="66" customFormat="1" ht="11.25">
      <c r="A184" s="247"/>
      <c r="B184" s="27" t="s">
        <v>261</v>
      </c>
      <c r="C184" s="301"/>
      <c r="D184" s="307"/>
      <c r="E184" s="309"/>
      <c r="F184" s="249"/>
      <c r="G184" s="51">
        <v>0.04887</v>
      </c>
      <c r="H184" s="83">
        <v>17960</v>
      </c>
      <c r="I184" s="83">
        <v>18315</v>
      </c>
      <c r="J184" s="83">
        <v>18310</v>
      </c>
      <c r="K184" s="83">
        <v>17500</v>
      </c>
      <c r="L184" s="83">
        <v>16290</v>
      </c>
      <c r="M184" s="83">
        <v>14995</v>
      </c>
      <c r="N184" s="83">
        <v>13745</v>
      </c>
      <c r="O184" s="83">
        <v>12490</v>
      </c>
      <c r="P184" s="83">
        <v>11270</v>
      </c>
      <c r="Q184" s="83">
        <v>9990</v>
      </c>
      <c r="R184" s="83">
        <v>8880</v>
      </c>
      <c r="S184" s="83">
        <v>7975</v>
      </c>
      <c r="T184" s="83">
        <v>7095</v>
      </c>
      <c r="U184" s="83">
        <v>6175</v>
      </c>
      <c r="V184" s="83">
        <v>18155</v>
      </c>
      <c r="W184" s="30">
        <f t="shared" si="4"/>
        <v>199145</v>
      </c>
    </row>
    <row r="185" spans="1:23" s="85" customFormat="1" ht="18" customHeight="1">
      <c r="A185" s="277">
        <v>90</v>
      </c>
      <c r="B185" s="22" t="s">
        <v>13</v>
      </c>
      <c r="C185" s="300" t="s">
        <v>262</v>
      </c>
      <c r="D185" s="300" t="s">
        <v>263</v>
      </c>
      <c r="E185" s="302">
        <v>364291</v>
      </c>
      <c r="F185" s="304" t="s">
        <v>260</v>
      </c>
      <c r="G185" s="50" t="s">
        <v>16</v>
      </c>
      <c r="H185" s="81"/>
      <c r="I185" s="81"/>
      <c r="J185" s="81">
        <v>11154</v>
      </c>
      <c r="K185" s="81">
        <v>22308</v>
      </c>
      <c r="L185" s="81">
        <v>22308</v>
      </c>
      <c r="M185" s="81">
        <v>22308</v>
      </c>
      <c r="N185" s="81">
        <v>22308</v>
      </c>
      <c r="O185" s="81">
        <v>22308</v>
      </c>
      <c r="P185" s="81">
        <v>22308</v>
      </c>
      <c r="Q185" s="81">
        <v>21672</v>
      </c>
      <c r="R185" s="81">
        <v>19764</v>
      </c>
      <c r="S185" s="81">
        <v>19764</v>
      </c>
      <c r="T185" s="81">
        <v>19764</v>
      </c>
      <c r="U185" s="81">
        <v>19764</v>
      </c>
      <c r="V185" s="82">
        <v>118561</v>
      </c>
      <c r="W185" s="25">
        <f t="shared" si="4"/>
        <v>364291</v>
      </c>
    </row>
    <row r="186" spans="1:23" s="85" customFormat="1" ht="12.75" customHeight="1">
      <c r="A186" s="278"/>
      <c r="B186" s="27" t="s">
        <v>264</v>
      </c>
      <c r="C186" s="301"/>
      <c r="D186" s="301"/>
      <c r="E186" s="303"/>
      <c r="F186" s="305"/>
      <c r="G186" s="51">
        <v>0.04887</v>
      </c>
      <c r="H186" s="83">
        <v>17500</v>
      </c>
      <c r="I186" s="83">
        <v>18055</v>
      </c>
      <c r="J186" s="83">
        <v>18045</v>
      </c>
      <c r="K186" s="83">
        <v>17330</v>
      </c>
      <c r="L186" s="83">
        <v>16270</v>
      </c>
      <c r="M186" s="83">
        <v>15120</v>
      </c>
      <c r="N186" s="83">
        <v>14015</v>
      </c>
      <c r="O186" s="83">
        <v>12910</v>
      </c>
      <c r="P186" s="83">
        <v>11835</v>
      </c>
      <c r="Q186" s="83">
        <v>10700</v>
      </c>
      <c r="R186" s="83">
        <v>9645</v>
      </c>
      <c r="S186" s="83">
        <v>8665</v>
      </c>
      <c r="T186" s="83">
        <v>7705</v>
      </c>
      <c r="U186" s="83">
        <v>6705</v>
      </c>
      <c r="V186" s="84">
        <v>19720</v>
      </c>
      <c r="W186" s="30">
        <f t="shared" si="4"/>
        <v>204220</v>
      </c>
    </row>
    <row r="187" spans="1:23" s="85" customFormat="1" ht="11.25" customHeight="1">
      <c r="A187" s="246">
        <v>91</v>
      </c>
      <c r="B187" s="22" t="s">
        <v>13</v>
      </c>
      <c r="C187" s="306" t="s">
        <v>265</v>
      </c>
      <c r="D187" s="306" t="s">
        <v>266</v>
      </c>
      <c r="E187" s="308">
        <v>394128</v>
      </c>
      <c r="F187" s="304" t="s">
        <v>267</v>
      </c>
      <c r="G187" s="50" t="s">
        <v>16</v>
      </c>
      <c r="H187" s="80"/>
      <c r="I187" s="81"/>
      <c r="J187" s="81">
        <v>15084</v>
      </c>
      <c r="K187" s="81">
        <v>30168</v>
      </c>
      <c r="L187" s="81">
        <v>30168</v>
      </c>
      <c r="M187" s="81">
        <v>30168</v>
      </c>
      <c r="N187" s="81">
        <v>30168</v>
      </c>
      <c r="O187" s="81">
        <v>30168</v>
      </c>
      <c r="P187" s="81">
        <v>30168</v>
      </c>
      <c r="Q187" s="81">
        <v>27942</v>
      </c>
      <c r="R187" s="81">
        <v>21264</v>
      </c>
      <c r="S187" s="81">
        <v>21264</v>
      </c>
      <c r="T187" s="81">
        <v>21264</v>
      </c>
      <c r="U187" s="81">
        <v>21264</v>
      </c>
      <c r="V187" s="82">
        <v>85038</v>
      </c>
      <c r="W187" s="25">
        <f t="shared" si="4"/>
        <v>394128</v>
      </c>
    </row>
    <row r="188" spans="1:23" s="85" customFormat="1" ht="11.25">
      <c r="A188" s="247"/>
      <c r="B188" s="27" t="s">
        <v>268</v>
      </c>
      <c r="C188" s="307"/>
      <c r="D188" s="307"/>
      <c r="E188" s="309"/>
      <c r="F188" s="305"/>
      <c r="G188" s="51">
        <v>0.04839</v>
      </c>
      <c r="H188" s="83">
        <v>19035</v>
      </c>
      <c r="I188" s="83">
        <v>19340</v>
      </c>
      <c r="J188" s="83">
        <v>19330</v>
      </c>
      <c r="K188" s="83">
        <v>18370</v>
      </c>
      <c r="L188" s="83">
        <v>16940</v>
      </c>
      <c r="M188" s="83">
        <v>15410</v>
      </c>
      <c r="N188" s="83">
        <v>13930</v>
      </c>
      <c r="O188" s="83">
        <v>12450</v>
      </c>
      <c r="P188" s="83">
        <v>11000</v>
      </c>
      <c r="Q188" s="83">
        <v>9490</v>
      </c>
      <c r="R188" s="83">
        <v>8185</v>
      </c>
      <c r="S188" s="83">
        <v>7145</v>
      </c>
      <c r="T188" s="83">
        <v>6120</v>
      </c>
      <c r="U188" s="83">
        <v>5055</v>
      </c>
      <c r="V188" s="84">
        <v>9850</v>
      </c>
      <c r="W188" s="30">
        <f t="shared" si="4"/>
        <v>191650</v>
      </c>
    </row>
    <row r="189" spans="1:23" s="66" customFormat="1" ht="19.5" customHeight="1">
      <c r="A189" s="246">
        <v>92</v>
      </c>
      <c r="B189" s="22" t="s">
        <v>13</v>
      </c>
      <c r="C189" s="300" t="s">
        <v>269</v>
      </c>
      <c r="D189" s="306" t="s">
        <v>270</v>
      </c>
      <c r="E189" s="308">
        <v>440962</v>
      </c>
      <c r="F189" s="304" t="s">
        <v>271</v>
      </c>
      <c r="G189" s="50" t="s">
        <v>16</v>
      </c>
      <c r="H189" s="81"/>
      <c r="I189" s="80"/>
      <c r="J189" s="81">
        <v>12376</v>
      </c>
      <c r="K189" s="81">
        <v>24752</v>
      </c>
      <c r="L189" s="81">
        <v>24752</v>
      </c>
      <c r="M189" s="81">
        <v>24752</v>
      </c>
      <c r="N189" s="81">
        <v>24752</v>
      </c>
      <c r="O189" s="81">
        <v>24752</v>
      </c>
      <c r="P189" s="81">
        <v>24752</v>
      </c>
      <c r="Q189" s="81">
        <v>23500</v>
      </c>
      <c r="R189" s="81">
        <v>19744</v>
      </c>
      <c r="S189" s="81">
        <v>19744</v>
      </c>
      <c r="T189" s="81">
        <v>19744</v>
      </c>
      <c r="U189" s="81">
        <v>19744</v>
      </c>
      <c r="V189" s="81">
        <v>177598</v>
      </c>
      <c r="W189" s="25">
        <f t="shared" si="4"/>
        <v>440962</v>
      </c>
    </row>
    <row r="190" spans="1:23" s="66" customFormat="1" ht="13.5" customHeight="1">
      <c r="A190" s="247"/>
      <c r="B190" s="27" t="s">
        <v>272</v>
      </c>
      <c r="C190" s="301"/>
      <c r="D190" s="307"/>
      <c r="E190" s="309"/>
      <c r="F190" s="305"/>
      <c r="G190" s="51">
        <v>0.04892</v>
      </c>
      <c r="H190" s="83">
        <v>20410</v>
      </c>
      <c r="I190" s="83">
        <v>21875</v>
      </c>
      <c r="J190" s="83">
        <v>21865</v>
      </c>
      <c r="K190" s="83">
        <v>21070</v>
      </c>
      <c r="L190" s="83">
        <v>19900</v>
      </c>
      <c r="M190" s="83">
        <v>18615</v>
      </c>
      <c r="N190" s="83">
        <v>17390</v>
      </c>
      <c r="O190" s="83">
        <v>16160</v>
      </c>
      <c r="P190" s="83">
        <v>14975</v>
      </c>
      <c r="Q190" s="83">
        <v>13705</v>
      </c>
      <c r="R190" s="83">
        <v>12580</v>
      </c>
      <c r="S190" s="83">
        <v>11600</v>
      </c>
      <c r="T190" s="83">
        <v>10650</v>
      </c>
      <c r="U190" s="83">
        <v>9640</v>
      </c>
      <c r="V190" s="83">
        <v>42750</v>
      </c>
      <c r="W190" s="30">
        <f t="shared" si="4"/>
        <v>273185</v>
      </c>
    </row>
    <row r="191" spans="1:23" s="66" customFormat="1" ht="11.25">
      <c r="A191" s="246">
        <v>93</v>
      </c>
      <c r="B191" s="22" t="s">
        <v>13</v>
      </c>
      <c r="C191" s="300" t="s">
        <v>273</v>
      </c>
      <c r="D191" s="300" t="s">
        <v>274</v>
      </c>
      <c r="E191" s="302">
        <v>5433326</v>
      </c>
      <c r="F191" s="304" t="s">
        <v>275</v>
      </c>
      <c r="G191" s="50" t="s">
        <v>16</v>
      </c>
      <c r="H191" s="80"/>
      <c r="I191" s="81"/>
      <c r="J191" s="81">
        <v>98788</v>
      </c>
      <c r="K191" s="81">
        <v>197576</v>
      </c>
      <c r="L191" s="81">
        <v>197576</v>
      </c>
      <c r="M191" s="81">
        <v>197576</v>
      </c>
      <c r="N191" s="81">
        <v>197576</v>
      </c>
      <c r="O191" s="81">
        <v>197576</v>
      </c>
      <c r="P191" s="81">
        <v>197576</v>
      </c>
      <c r="Q191" s="81">
        <v>197576</v>
      </c>
      <c r="R191" s="81">
        <v>197576</v>
      </c>
      <c r="S191" s="81">
        <v>197576</v>
      </c>
      <c r="T191" s="81">
        <v>197576</v>
      </c>
      <c r="U191" s="81">
        <v>197576</v>
      </c>
      <c r="V191" s="82">
        <v>3161202</v>
      </c>
      <c r="W191" s="25">
        <f t="shared" si="4"/>
        <v>5433326</v>
      </c>
    </row>
    <row r="192" spans="1:23" s="66" customFormat="1" ht="11.25">
      <c r="A192" s="247"/>
      <c r="B192" s="27" t="s">
        <v>276</v>
      </c>
      <c r="C192" s="301"/>
      <c r="D192" s="301"/>
      <c r="E192" s="303"/>
      <c r="F192" s="305"/>
      <c r="G192" s="51">
        <v>0.04741</v>
      </c>
      <c r="H192" s="83">
        <v>108390</v>
      </c>
      <c r="I192" s="83">
        <v>242630</v>
      </c>
      <c r="J192" s="83">
        <v>261110</v>
      </c>
      <c r="K192" s="83">
        <v>255960</v>
      </c>
      <c r="L192" s="83">
        <v>246140</v>
      </c>
      <c r="M192" s="83">
        <v>235970</v>
      </c>
      <c r="N192" s="83">
        <v>226470</v>
      </c>
      <c r="O192" s="83">
        <v>216975</v>
      </c>
      <c r="P192" s="83">
        <v>208050</v>
      </c>
      <c r="Q192" s="83">
        <v>197980</v>
      </c>
      <c r="R192" s="83">
        <v>188480</v>
      </c>
      <c r="S192" s="83">
        <v>178985</v>
      </c>
      <c r="T192" s="83">
        <v>169955</v>
      </c>
      <c r="U192" s="83">
        <v>159990</v>
      </c>
      <c r="V192" s="84">
        <v>1269550</v>
      </c>
      <c r="W192" s="30">
        <f t="shared" si="4"/>
        <v>4166635</v>
      </c>
    </row>
    <row r="193" spans="1:23" s="66" customFormat="1" ht="18" customHeight="1">
      <c r="A193" s="277">
        <v>94</v>
      </c>
      <c r="B193" s="22" t="s">
        <v>13</v>
      </c>
      <c r="C193" s="300" t="s">
        <v>277</v>
      </c>
      <c r="D193" s="306" t="s">
        <v>278</v>
      </c>
      <c r="E193" s="308">
        <v>1053313</v>
      </c>
      <c r="F193" s="304" t="s">
        <v>279</v>
      </c>
      <c r="G193" s="50" t="s">
        <v>16</v>
      </c>
      <c r="H193" s="80"/>
      <c r="I193" s="81"/>
      <c r="J193" s="81">
        <v>28388</v>
      </c>
      <c r="K193" s="81">
        <v>56776</v>
      </c>
      <c r="L193" s="81">
        <v>56776</v>
      </c>
      <c r="M193" s="81">
        <v>56776</v>
      </c>
      <c r="N193" s="81">
        <v>56776</v>
      </c>
      <c r="O193" s="81">
        <v>56776</v>
      </c>
      <c r="P193" s="81">
        <v>56776</v>
      </c>
      <c r="Q193" s="81">
        <v>50742</v>
      </c>
      <c r="R193" s="81">
        <v>32640</v>
      </c>
      <c r="S193" s="81">
        <v>32640</v>
      </c>
      <c r="T193" s="81">
        <v>32640</v>
      </c>
      <c r="U193" s="81">
        <v>32640</v>
      </c>
      <c r="V193" s="82">
        <v>502967</v>
      </c>
      <c r="W193" s="25">
        <f t="shared" si="4"/>
        <v>1053313</v>
      </c>
    </row>
    <row r="194" spans="1:23" s="66" customFormat="1" ht="18.75" customHeight="1">
      <c r="A194" s="278"/>
      <c r="B194" s="27" t="s">
        <v>280</v>
      </c>
      <c r="C194" s="301"/>
      <c r="D194" s="307"/>
      <c r="E194" s="309"/>
      <c r="F194" s="305"/>
      <c r="G194" s="51" t="s">
        <v>281</v>
      </c>
      <c r="H194" s="83">
        <v>36560</v>
      </c>
      <c r="I194" s="83">
        <v>52490</v>
      </c>
      <c r="J194" s="83">
        <v>52470</v>
      </c>
      <c r="K194" s="83">
        <v>50640</v>
      </c>
      <c r="L194" s="83">
        <v>47945</v>
      </c>
      <c r="M194" s="83">
        <v>44985</v>
      </c>
      <c r="N194" s="83">
        <v>42155</v>
      </c>
      <c r="O194" s="83">
        <v>39325</v>
      </c>
      <c r="P194" s="83">
        <v>36595</v>
      </c>
      <c r="Q194" s="83">
        <v>33665</v>
      </c>
      <c r="R194" s="83">
        <v>31320</v>
      </c>
      <c r="S194" s="83">
        <v>29695</v>
      </c>
      <c r="T194" s="83">
        <v>28145</v>
      </c>
      <c r="U194" s="83">
        <v>26445</v>
      </c>
      <c r="V194" s="84">
        <v>208960</v>
      </c>
      <c r="W194" s="30">
        <f t="shared" si="4"/>
        <v>761395</v>
      </c>
    </row>
    <row r="195" spans="1:23" s="66" customFormat="1" ht="18.75" customHeight="1">
      <c r="A195" s="277">
        <v>95</v>
      </c>
      <c r="B195" s="22" t="s">
        <v>13</v>
      </c>
      <c r="C195" s="300" t="s">
        <v>282</v>
      </c>
      <c r="D195" s="300" t="s">
        <v>283</v>
      </c>
      <c r="E195" s="302">
        <v>273339</v>
      </c>
      <c r="F195" s="304" t="s">
        <v>284</v>
      </c>
      <c r="G195" s="50" t="s">
        <v>16</v>
      </c>
      <c r="H195" s="80">
        <v>0</v>
      </c>
      <c r="I195" s="81">
        <v>68336</v>
      </c>
      <c r="J195" s="81">
        <v>68336</v>
      </c>
      <c r="K195" s="81">
        <v>68336</v>
      </c>
      <c r="L195" s="81">
        <v>68331</v>
      </c>
      <c r="M195" s="81"/>
      <c r="N195" s="81"/>
      <c r="O195" s="81"/>
      <c r="P195" s="81"/>
      <c r="Q195" s="81"/>
      <c r="R195" s="81"/>
      <c r="S195" s="81"/>
      <c r="T195" s="81"/>
      <c r="U195" s="81"/>
      <c r="V195" s="82"/>
      <c r="W195" s="25">
        <f t="shared" si="4"/>
        <v>273339</v>
      </c>
    </row>
    <row r="196" spans="1:23" s="66" customFormat="1" ht="19.5" customHeight="1">
      <c r="A196" s="278"/>
      <c r="B196" s="27" t="s">
        <v>285</v>
      </c>
      <c r="C196" s="301"/>
      <c r="D196" s="301"/>
      <c r="E196" s="303"/>
      <c r="F196" s="305"/>
      <c r="G196" s="51" t="s">
        <v>286</v>
      </c>
      <c r="H196" s="83">
        <v>9500</v>
      </c>
      <c r="I196" s="83">
        <v>10905</v>
      </c>
      <c r="J196" s="83">
        <v>8190</v>
      </c>
      <c r="K196" s="83">
        <v>5310</v>
      </c>
      <c r="L196" s="83">
        <v>2445</v>
      </c>
      <c r="M196" s="83">
        <v>160</v>
      </c>
      <c r="N196" s="83"/>
      <c r="O196" s="83"/>
      <c r="P196" s="83"/>
      <c r="Q196" s="83"/>
      <c r="R196" s="83"/>
      <c r="S196" s="83"/>
      <c r="T196" s="83"/>
      <c r="U196" s="83"/>
      <c r="V196" s="84"/>
      <c r="W196" s="30">
        <f t="shared" si="4"/>
        <v>36510</v>
      </c>
    </row>
    <row r="197" spans="1:23" s="66" customFormat="1" ht="15.75" customHeight="1">
      <c r="A197" s="277">
        <v>96</v>
      </c>
      <c r="B197" s="22" t="s">
        <v>13</v>
      </c>
      <c r="C197" s="300" t="s">
        <v>287</v>
      </c>
      <c r="D197" s="300" t="s">
        <v>327</v>
      </c>
      <c r="E197" s="302">
        <v>148836</v>
      </c>
      <c r="F197" s="304" t="s">
        <v>326</v>
      </c>
      <c r="G197" s="50" t="s">
        <v>16</v>
      </c>
      <c r="H197" s="81"/>
      <c r="I197" s="80"/>
      <c r="J197" s="81">
        <v>7088</v>
      </c>
      <c r="K197" s="81">
        <v>14176</v>
      </c>
      <c r="L197" s="81">
        <v>14176</v>
      </c>
      <c r="M197" s="81">
        <v>14176</v>
      </c>
      <c r="N197" s="81">
        <v>14176</v>
      </c>
      <c r="O197" s="81">
        <v>14176</v>
      </c>
      <c r="P197" s="81">
        <v>14176</v>
      </c>
      <c r="Q197" s="81">
        <v>14176</v>
      </c>
      <c r="R197" s="81">
        <v>14176</v>
      </c>
      <c r="S197" s="81">
        <v>14176</v>
      </c>
      <c r="T197" s="81">
        <v>14164</v>
      </c>
      <c r="U197" s="81"/>
      <c r="V197" s="81"/>
      <c r="W197" s="25">
        <f t="shared" si="4"/>
        <v>148836</v>
      </c>
    </row>
    <row r="198" spans="1:23" s="66" customFormat="1" ht="14.25" customHeight="1">
      <c r="A198" s="278"/>
      <c r="B198" s="27" t="s">
        <v>328</v>
      </c>
      <c r="C198" s="301"/>
      <c r="D198" s="301"/>
      <c r="E198" s="303"/>
      <c r="F198" s="305"/>
      <c r="G198" s="51">
        <v>0.04143</v>
      </c>
      <c r="H198" s="83">
        <v>6270</v>
      </c>
      <c r="I198" s="83">
        <v>6255</v>
      </c>
      <c r="J198" s="83">
        <v>6250</v>
      </c>
      <c r="K198" s="83">
        <v>5865</v>
      </c>
      <c r="L198" s="83">
        <v>5285</v>
      </c>
      <c r="M198" s="83">
        <v>4675</v>
      </c>
      <c r="N198" s="83">
        <v>4080</v>
      </c>
      <c r="O198" s="83">
        <v>3485</v>
      </c>
      <c r="P198" s="83">
        <v>2895</v>
      </c>
      <c r="Q198" s="83">
        <v>2290</v>
      </c>
      <c r="R198" s="83">
        <v>1695</v>
      </c>
      <c r="S198" s="83">
        <v>1100</v>
      </c>
      <c r="T198" s="83">
        <v>505</v>
      </c>
      <c r="U198" s="83">
        <v>35</v>
      </c>
      <c r="V198" s="83"/>
      <c r="W198" s="30">
        <f t="shared" si="4"/>
        <v>50685</v>
      </c>
    </row>
    <row r="199" spans="1:23" s="208" customFormat="1" ht="18.75" customHeight="1">
      <c r="A199" s="288">
        <v>97</v>
      </c>
      <c r="B199" s="86" t="s">
        <v>330</v>
      </c>
      <c r="C199" s="292" t="s">
        <v>329</v>
      </c>
      <c r="D199" s="296"/>
      <c r="E199" s="294">
        <v>1500000</v>
      </c>
      <c r="F199" s="298"/>
      <c r="G199" s="87" t="s">
        <v>16</v>
      </c>
      <c r="H199" s="88"/>
      <c r="I199" s="89"/>
      <c r="J199" s="89"/>
      <c r="K199" s="89">
        <v>41667</v>
      </c>
      <c r="L199" s="89">
        <v>55556</v>
      </c>
      <c r="M199" s="89">
        <v>55556</v>
      </c>
      <c r="N199" s="89">
        <v>55556</v>
      </c>
      <c r="O199" s="89">
        <v>55556</v>
      </c>
      <c r="P199" s="89">
        <v>55556</v>
      </c>
      <c r="Q199" s="89">
        <v>55556</v>
      </c>
      <c r="R199" s="89">
        <v>55556</v>
      </c>
      <c r="S199" s="89">
        <v>55556</v>
      </c>
      <c r="T199" s="89">
        <v>55556</v>
      </c>
      <c r="U199" s="89">
        <v>55556</v>
      </c>
      <c r="V199" s="97">
        <v>902775</v>
      </c>
      <c r="W199" s="207">
        <f aca="true" t="shared" si="5" ref="W199:W210">SUM(H199:V199)</f>
        <v>1500002</v>
      </c>
    </row>
    <row r="200" spans="1:23" s="208" customFormat="1" ht="16.5" customHeight="1">
      <c r="A200" s="289"/>
      <c r="B200" s="94"/>
      <c r="C200" s="293"/>
      <c r="D200" s="297"/>
      <c r="E200" s="295"/>
      <c r="F200" s="299"/>
      <c r="G200" s="91">
        <v>0.04588</v>
      </c>
      <c r="H200" s="92">
        <v>46585</v>
      </c>
      <c r="I200" s="92">
        <v>69780</v>
      </c>
      <c r="J200" s="92">
        <v>69780</v>
      </c>
      <c r="K200" s="92">
        <v>69290</v>
      </c>
      <c r="L200" s="92">
        <v>67055</v>
      </c>
      <c r="M200" s="92">
        <v>64285</v>
      </c>
      <c r="N200" s="92">
        <v>61700</v>
      </c>
      <c r="O200" s="92">
        <v>59115</v>
      </c>
      <c r="P200" s="92">
        <v>56690</v>
      </c>
      <c r="Q200" s="92">
        <v>53950</v>
      </c>
      <c r="R200" s="92">
        <v>51365</v>
      </c>
      <c r="S200" s="92">
        <v>48780</v>
      </c>
      <c r="T200" s="92">
        <v>46325</v>
      </c>
      <c r="U200" s="92">
        <v>43610</v>
      </c>
      <c r="V200" s="98">
        <v>346665</v>
      </c>
      <c r="W200" s="209">
        <f t="shared" si="5"/>
        <v>1154975</v>
      </c>
    </row>
    <row r="201" spans="1:23" s="66" customFormat="1" ht="27.75" customHeight="1">
      <c r="A201" s="288">
        <v>98</v>
      </c>
      <c r="B201" s="86" t="s">
        <v>330</v>
      </c>
      <c r="C201" s="292" t="s">
        <v>331</v>
      </c>
      <c r="D201" s="292"/>
      <c r="E201" s="294">
        <v>610000</v>
      </c>
      <c r="F201" s="283"/>
      <c r="G201" s="87" t="s">
        <v>16</v>
      </c>
      <c r="H201" s="88"/>
      <c r="I201" s="89"/>
      <c r="J201" s="89"/>
      <c r="K201" s="89">
        <v>26523</v>
      </c>
      <c r="L201" s="89">
        <v>35364</v>
      </c>
      <c r="M201" s="89">
        <v>35364</v>
      </c>
      <c r="N201" s="89">
        <v>35364</v>
      </c>
      <c r="O201" s="89">
        <v>35364</v>
      </c>
      <c r="P201" s="89">
        <v>35364</v>
      </c>
      <c r="Q201" s="89">
        <v>35364</v>
      </c>
      <c r="R201" s="89">
        <v>35364</v>
      </c>
      <c r="S201" s="89">
        <v>35364</v>
      </c>
      <c r="T201" s="89">
        <v>35364</v>
      </c>
      <c r="U201" s="89">
        <v>35364</v>
      </c>
      <c r="V201" s="97">
        <v>229837</v>
      </c>
      <c r="W201" s="25">
        <f t="shared" si="5"/>
        <v>610000</v>
      </c>
    </row>
    <row r="202" spans="1:23" s="66" customFormat="1" ht="20.25" customHeight="1">
      <c r="A202" s="289"/>
      <c r="B202" s="90"/>
      <c r="C202" s="293"/>
      <c r="D202" s="293"/>
      <c r="E202" s="295"/>
      <c r="F202" s="284"/>
      <c r="G202" s="91">
        <v>0.04388</v>
      </c>
      <c r="H202" s="92">
        <v>18045</v>
      </c>
      <c r="I202" s="92">
        <v>27140</v>
      </c>
      <c r="J202" s="92">
        <v>27140</v>
      </c>
      <c r="K202" s="92">
        <v>26845</v>
      </c>
      <c r="L202" s="92">
        <v>25440</v>
      </c>
      <c r="M202" s="92">
        <v>23795</v>
      </c>
      <c r="N202" s="92">
        <v>22225</v>
      </c>
      <c r="O202" s="92">
        <v>20650</v>
      </c>
      <c r="P202" s="92">
        <v>19130</v>
      </c>
      <c r="Q202" s="92">
        <v>17505</v>
      </c>
      <c r="R202" s="92">
        <v>15930</v>
      </c>
      <c r="S202" s="92">
        <v>14355</v>
      </c>
      <c r="T202" s="92">
        <v>12820</v>
      </c>
      <c r="U202" s="92">
        <v>11210</v>
      </c>
      <c r="V202" s="98">
        <v>34525</v>
      </c>
      <c r="W202" s="30">
        <f t="shared" si="5"/>
        <v>316755</v>
      </c>
    </row>
    <row r="203" spans="1:23" s="66" customFormat="1" ht="11.25">
      <c r="A203" s="288">
        <v>99</v>
      </c>
      <c r="B203" s="86" t="s">
        <v>330</v>
      </c>
      <c r="C203" s="292" t="s">
        <v>246</v>
      </c>
      <c r="D203" s="296"/>
      <c r="E203" s="294">
        <v>260000</v>
      </c>
      <c r="F203" s="298"/>
      <c r="G203" s="87" t="s">
        <v>16</v>
      </c>
      <c r="H203" s="88"/>
      <c r="I203" s="89"/>
      <c r="J203" s="89"/>
      <c r="K203" s="89">
        <v>16251</v>
      </c>
      <c r="L203" s="89">
        <v>21668</v>
      </c>
      <c r="M203" s="89">
        <v>21668</v>
      </c>
      <c r="N203" s="89">
        <v>21668</v>
      </c>
      <c r="O203" s="89">
        <v>21668</v>
      </c>
      <c r="P203" s="89">
        <v>21668</v>
      </c>
      <c r="Q203" s="89">
        <v>21668</v>
      </c>
      <c r="R203" s="89">
        <v>21668</v>
      </c>
      <c r="S203" s="89">
        <v>21668</v>
      </c>
      <c r="T203" s="89">
        <v>21668</v>
      </c>
      <c r="U203" s="89">
        <v>21668</v>
      </c>
      <c r="V203" s="97">
        <v>27069</v>
      </c>
      <c r="W203" s="25">
        <f t="shared" si="5"/>
        <v>260000</v>
      </c>
    </row>
    <row r="204" spans="1:23" s="66" customFormat="1" ht="11.25">
      <c r="A204" s="289"/>
      <c r="B204" s="94"/>
      <c r="C204" s="293"/>
      <c r="D204" s="297"/>
      <c r="E204" s="295"/>
      <c r="F204" s="299"/>
      <c r="G204" s="91">
        <v>0.04236</v>
      </c>
      <c r="H204" s="92">
        <v>6465</v>
      </c>
      <c r="I204" s="92">
        <v>11570</v>
      </c>
      <c r="J204" s="92">
        <v>11570</v>
      </c>
      <c r="K204" s="92">
        <v>11390</v>
      </c>
      <c r="L204" s="92">
        <v>10515</v>
      </c>
      <c r="M204" s="92">
        <v>9520</v>
      </c>
      <c r="N204" s="92">
        <v>8555</v>
      </c>
      <c r="O204" s="92">
        <v>7595</v>
      </c>
      <c r="P204" s="92">
        <v>6645</v>
      </c>
      <c r="Q204" s="92">
        <v>5665</v>
      </c>
      <c r="R204" s="92">
        <v>4700</v>
      </c>
      <c r="S204" s="92">
        <v>3735</v>
      </c>
      <c r="T204" s="92">
        <v>2780</v>
      </c>
      <c r="U204" s="92">
        <v>1810</v>
      </c>
      <c r="V204" s="98">
        <v>905</v>
      </c>
      <c r="W204" s="30">
        <f t="shared" si="5"/>
        <v>103420</v>
      </c>
    </row>
    <row r="205" spans="1:23" s="66" customFormat="1" ht="11.25">
      <c r="A205" s="288">
        <v>100</v>
      </c>
      <c r="B205" s="86" t="s">
        <v>330</v>
      </c>
      <c r="C205" s="279" t="s">
        <v>332</v>
      </c>
      <c r="D205" s="279"/>
      <c r="E205" s="290">
        <v>200000</v>
      </c>
      <c r="F205" s="283"/>
      <c r="G205" s="87" t="s">
        <v>16</v>
      </c>
      <c r="H205" s="89"/>
      <c r="I205" s="88"/>
      <c r="J205" s="89"/>
      <c r="K205" s="89">
        <v>12501</v>
      </c>
      <c r="L205" s="89">
        <v>16668</v>
      </c>
      <c r="M205" s="89">
        <v>16668</v>
      </c>
      <c r="N205" s="89">
        <v>16668</v>
      </c>
      <c r="O205" s="89">
        <v>16668</v>
      </c>
      <c r="P205" s="89">
        <v>16668</v>
      </c>
      <c r="Q205" s="89">
        <v>16668</v>
      </c>
      <c r="R205" s="89">
        <v>16668</v>
      </c>
      <c r="S205" s="89">
        <v>16668</v>
      </c>
      <c r="T205" s="89">
        <v>16668</v>
      </c>
      <c r="U205" s="89">
        <v>16668</v>
      </c>
      <c r="V205" s="89">
        <v>20819</v>
      </c>
      <c r="W205" s="25">
        <f t="shared" si="5"/>
        <v>200000</v>
      </c>
    </row>
    <row r="206" spans="1:23" s="66" customFormat="1" ht="11.25">
      <c r="A206" s="289"/>
      <c r="B206" s="94"/>
      <c r="C206" s="280"/>
      <c r="D206" s="280"/>
      <c r="E206" s="291"/>
      <c r="F206" s="284"/>
      <c r="G206" s="91">
        <v>0.04236</v>
      </c>
      <c r="H206" s="92">
        <v>5020</v>
      </c>
      <c r="I206" s="92">
        <v>8900</v>
      </c>
      <c r="J206" s="92">
        <v>8900</v>
      </c>
      <c r="K206" s="92">
        <v>8760</v>
      </c>
      <c r="L206" s="92">
        <v>8090</v>
      </c>
      <c r="M206" s="92">
        <v>7325</v>
      </c>
      <c r="N206" s="92">
        <v>6585</v>
      </c>
      <c r="O206" s="92">
        <v>5840</v>
      </c>
      <c r="P206" s="92">
        <v>5115</v>
      </c>
      <c r="Q206" s="92">
        <v>4360</v>
      </c>
      <c r="R206" s="92">
        <v>3615</v>
      </c>
      <c r="S206" s="92">
        <v>2875</v>
      </c>
      <c r="T206" s="92">
        <v>2140</v>
      </c>
      <c r="U206" s="92">
        <v>1390</v>
      </c>
      <c r="V206" s="92">
        <v>695</v>
      </c>
      <c r="W206" s="30">
        <f t="shared" si="5"/>
        <v>79610</v>
      </c>
    </row>
    <row r="207" spans="1:23" s="66" customFormat="1" ht="16.5" customHeight="1">
      <c r="A207" s="288">
        <v>101</v>
      </c>
      <c r="B207" s="86" t="s">
        <v>330</v>
      </c>
      <c r="C207" s="279" t="s">
        <v>333</v>
      </c>
      <c r="D207" s="279"/>
      <c r="E207" s="290">
        <v>150000</v>
      </c>
      <c r="F207" s="283"/>
      <c r="G207" s="87" t="s">
        <v>16</v>
      </c>
      <c r="H207" s="89"/>
      <c r="I207" s="89"/>
      <c r="J207" s="89"/>
      <c r="K207" s="89">
        <v>9375</v>
      </c>
      <c r="L207" s="89">
        <v>12500</v>
      </c>
      <c r="M207" s="89">
        <v>12500</v>
      </c>
      <c r="N207" s="89">
        <v>12500</v>
      </c>
      <c r="O207" s="89">
        <v>12500</v>
      </c>
      <c r="P207" s="89">
        <v>12500</v>
      </c>
      <c r="Q207" s="89">
        <v>12500</v>
      </c>
      <c r="R207" s="89">
        <v>12500</v>
      </c>
      <c r="S207" s="89">
        <v>12500</v>
      </c>
      <c r="T207" s="89">
        <v>12500</v>
      </c>
      <c r="U207" s="89">
        <v>12500</v>
      </c>
      <c r="V207" s="89">
        <v>15625</v>
      </c>
      <c r="W207" s="25">
        <f t="shared" si="5"/>
        <v>150000</v>
      </c>
    </row>
    <row r="208" spans="1:23" s="66" customFormat="1" ht="15.75" customHeight="1">
      <c r="A208" s="289"/>
      <c r="B208" s="90"/>
      <c r="C208" s="280"/>
      <c r="D208" s="280"/>
      <c r="E208" s="291"/>
      <c r="F208" s="284"/>
      <c r="G208" s="91">
        <v>0.04236</v>
      </c>
      <c r="H208" s="92">
        <v>3905</v>
      </c>
      <c r="I208" s="92">
        <v>6675</v>
      </c>
      <c r="J208" s="92">
        <v>6675</v>
      </c>
      <c r="K208" s="92">
        <v>6570</v>
      </c>
      <c r="L208" s="92">
        <v>6065</v>
      </c>
      <c r="M208" s="92">
        <v>5495</v>
      </c>
      <c r="N208" s="92">
        <v>4940</v>
      </c>
      <c r="O208" s="92">
        <v>4380</v>
      </c>
      <c r="P208" s="92">
        <v>3835</v>
      </c>
      <c r="Q208" s="92">
        <v>3270</v>
      </c>
      <c r="R208" s="92">
        <v>2715</v>
      </c>
      <c r="S208" s="92">
        <v>2155</v>
      </c>
      <c r="T208" s="92">
        <v>1605</v>
      </c>
      <c r="U208" s="92">
        <v>1045</v>
      </c>
      <c r="V208" s="92">
        <v>525</v>
      </c>
      <c r="W208" s="30">
        <f t="shared" si="5"/>
        <v>59855</v>
      </c>
    </row>
    <row r="209" spans="1:23" s="85" customFormat="1" ht="11.25" hidden="1">
      <c r="A209" s="277"/>
      <c r="B209" s="86"/>
      <c r="C209" s="279"/>
      <c r="D209" s="279"/>
      <c r="E209" s="281"/>
      <c r="F209" s="283"/>
      <c r="G209" s="87"/>
      <c r="H209" s="93"/>
      <c r="I209" s="93"/>
      <c r="J209" s="93"/>
      <c r="K209" s="93"/>
      <c r="L209" s="93"/>
      <c r="M209" s="93"/>
      <c r="N209" s="93"/>
      <c r="O209" s="93"/>
      <c r="P209" s="93"/>
      <c r="Q209" s="93"/>
      <c r="R209" s="93"/>
      <c r="S209" s="93"/>
      <c r="T209" s="93"/>
      <c r="U209" s="93"/>
      <c r="V209" s="93"/>
      <c r="W209" s="25">
        <f t="shared" si="5"/>
        <v>0</v>
      </c>
    </row>
    <row r="210" spans="1:23" s="66" customFormat="1" ht="11.25" hidden="1">
      <c r="A210" s="278"/>
      <c r="B210" s="90"/>
      <c r="C210" s="280"/>
      <c r="D210" s="280"/>
      <c r="E210" s="282"/>
      <c r="F210" s="284"/>
      <c r="G210" s="95"/>
      <c r="H210" s="96"/>
      <c r="I210" s="96"/>
      <c r="J210" s="96"/>
      <c r="K210" s="96"/>
      <c r="L210" s="96"/>
      <c r="M210" s="96"/>
      <c r="N210" s="96"/>
      <c r="O210" s="96"/>
      <c r="P210" s="96"/>
      <c r="Q210" s="96"/>
      <c r="R210" s="96"/>
      <c r="S210" s="96"/>
      <c r="T210" s="96"/>
      <c r="U210" s="96"/>
      <c r="V210" s="96"/>
      <c r="W210" s="30">
        <f t="shared" si="5"/>
        <v>0</v>
      </c>
    </row>
    <row r="211" spans="1:23" s="1" customFormat="1" ht="13.5" customHeight="1">
      <c r="A211" s="99"/>
      <c r="B211" s="285" t="s">
        <v>288</v>
      </c>
      <c r="C211" s="286"/>
      <c r="D211" s="286"/>
      <c r="E211" s="286"/>
      <c r="F211" s="287"/>
      <c r="G211" s="100"/>
      <c r="H211" s="101">
        <f aca="true" t="shared" si="6" ref="H211:W211">SUM(H9+H11+H13+H15+H17+H23+H19+H21+H25+H27+H33+H31+H29+H35+H37+H39)+H41+H43+H45+H7+H47+H49+H51++H125+H127+H129+H131+H133+H135+H137+H139+H141+H143+H145+H147+H149+H151+H153+H155+H157+H159+H161+H163+H165+H167+H53+H55+H57+H61+H59+H63+H65+H67+H87+H69+H71+H73+H75+H77+H79+H81+H83+H85+H89+H91+H93+H95+H97+H99+H101+H103+H105+H107+H109+H111+H113+H115+H117+H119+H121+H123+H209+H169+H171+H173+H175+H177+H179+H181+H183+H185+H187+H189+H199+H201+H207+H191+H193+H195+H197+H203+H205</f>
        <v>1024980.32</v>
      </c>
      <c r="I211" s="101">
        <f t="shared" si="6"/>
        <v>3599921</v>
      </c>
      <c r="J211" s="101">
        <f t="shared" si="6"/>
        <v>4147511</v>
      </c>
      <c r="K211" s="101">
        <f t="shared" si="6"/>
        <v>5378397</v>
      </c>
      <c r="L211" s="101">
        <f t="shared" si="6"/>
        <v>5667473.8</v>
      </c>
      <c r="M211" s="101">
        <f t="shared" si="6"/>
        <v>5906000</v>
      </c>
      <c r="N211" s="101">
        <f t="shared" si="6"/>
        <v>6288386</v>
      </c>
      <c r="O211" s="101">
        <f t="shared" si="6"/>
        <v>6400331.96</v>
      </c>
      <c r="P211" s="101">
        <f t="shared" si="6"/>
        <v>6337702</v>
      </c>
      <c r="Q211" s="101">
        <f t="shared" si="6"/>
        <v>6229465.93</v>
      </c>
      <c r="R211" s="101">
        <f t="shared" si="6"/>
        <v>5320180</v>
      </c>
      <c r="S211" s="101">
        <f t="shared" si="6"/>
        <v>4271410.76</v>
      </c>
      <c r="T211" s="101">
        <f t="shared" si="6"/>
        <v>4197676.24</v>
      </c>
      <c r="U211" s="101">
        <f t="shared" si="6"/>
        <v>4113545.54</v>
      </c>
      <c r="V211" s="101">
        <f t="shared" si="6"/>
        <v>42343766.97</v>
      </c>
      <c r="W211" s="102">
        <f t="shared" si="6"/>
        <v>111226748.51999998</v>
      </c>
    </row>
    <row r="212" spans="1:23" s="1" customFormat="1" ht="13.5" thickBot="1">
      <c r="A212" s="103"/>
      <c r="B212" s="269" t="s">
        <v>289</v>
      </c>
      <c r="C212" s="270"/>
      <c r="D212" s="270"/>
      <c r="E212" s="270"/>
      <c r="F212" s="271"/>
      <c r="G212" s="104"/>
      <c r="H212" s="105">
        <f aca="true" t="shared" si="7" ref="H212:W212">SUM(H10+H12+H14+H16+H18+H24+H20+H22+H26+H28+H34+H32+H30+H36+H38+H40)+H42+H44+H46+H8+H48+H50+H52++H126+H128+H130+H132+H134+H136+H138+H140+H142+H144+H146+H148+H150+H152+H154+H156+H158+H160+H162+H164+H166+H168+H54+H56+H58+H62+H60+H64+H66+H68+H88+H70+H72+H74+H76+H78+H80+H82+H84+H86+H90+H92+H94+H96+H98+H100+H102+H104+H106+H108+H110+H112+H114+H116+H118+H120+H122+H124+H210+H170+H172+H174+H176+H178+H180+H182+H184+H186+H188+H190+H200+H202+H208+H192+H194+H196+H198+H204+H206</f>
        <v>5234705</v>
      </c>
      <c r="I212" s="105">
        <f t="shared" si="7"/>
        <v>5588587</v>
      </c>
      <c r="J212" s="105">
        <f t="shared" si="7"/>
        <v>5223330</v>
      </c>
      <c r="K212" s="105">
        <f t="shared" si="7"/>
        <v>4357410</v>
      </c>
      <c r="L212" s="105">
        <f t="shared" si="7"/>
        <v>3985500</v>
      </c>
      <c r="M212" s="105">
        <f t="shared" si="7"/>
        <v>3740020</v>
      </c>
      <c r="N212" s="105">
        <f t="shared" si="7"/>
        <v>3494185</v>
      </c>
      <c r="O212" s="105">
        <f t="shared" si="7"/>
        <v>3236070</v>
      </c>
      <c r="P212" s="105">
        <f t="shared" si="7"/>
        <v>2980605</v>
      </c>
      <c r="Q212" s="105">
        <f t="shared" si="7"/>
        <v>2712165</v>
      </c>
      <c r="R212" s="105">
        <f t="shared" si="7"/>
        <v>2463680</v>
      </c>
      <c r="S212" s="105">
        <f t="shared" si="7"/>
        <v>2251280</v>
      </c>
      <c r="T212" s="105">
        <f t="shared" si="7"/>
        <v>2078880</v>
      </c>
      <c r="U212" s="105">
        <f t="shared" si="7"/>
        <v>1900150</v>
      </c>
      <c r="V212" s="105">
        <f t="shared" si="7"/>
        <v>11387355</v>
      </c>
      <c r="W212" s="106">
        <f t="shared" si="7"/>
        <v>60633922</v>
      </c>
    </row>
    <row r="213" spans="1:23" s="1" customFormat="1" ht="13.5" thickTop="1">
      <c r="A213" s="107"/>
      <c r="B213" s="272" t="s">
        <v>290</v>
      </c>
      <c r="C213" s="273"/>
      <c r="D213" s="273"/>
      <c r="E213" s="273"/>
      <c r="F213" s="274"/>
      <c r="G213" s="108"/>
      <c r="H213" s="109">
        <f aca="true" t="shared" si="8" ref="H213:W213">SUM(H211:H212)</f>
        <v>6259685.32</v>
      </c>
      <c r="I213" s="109">
        <f t="shared" si="8"/>
        <v>9188508</v>
      </c>
      <c r="J213" s="109">
        <f t="shared" si="8"/>
        <v>9370841</v>
      </c>
      <c r="K213" s="109">
        <f t="shared" si="8"/>
        <v>9735807</v>
      </c>
      <c r="L213" s="109">
        <f t="shared" si="8"/>
        <v>9652973.8</v>
      </c>
      <c r="M213" s="109">
        <f t="shared" si="8"/>
        <v>9646020</v>
      </c>
      <c r="N213" s="109">
        <f t="shared" si="8"/>
        <v>9782571</v>
      </c>
      <c r="O213" s="109">
        <f t="shared" si="8"/>
        <v>9636401.96</v>
      </c>
      <c r="P213" s="109">
        <f t="shared" si="8"/>
        <v>9318307</v>
      </c>
      <c r="Q213" s="109">
        <f t="shared" si="8"/>
        <v>8941630.93</v>
      </c>
      <c r="R213" s="109">
        <f t="shared" si="8"/>
        <v>7783860</v>
      </c>
      <c r="S213" s="109">
        <f t="shared" si="8"/>
        <v>6522690.76</v>
      </c>
      <c r="T213" s="109">
        <f t="shared" si="8"/>
        <v>6276556.24</v>
      </c>
      <c r="U213" s="109">
        <f t="shared" si="8"/>
        <v>6013695.54</v>
      </c>
      <c r="V213" s="109">
        <f t="shared" si="8"/>
        <v>53731121.97</v>
      </c>
      <c r="W213" s="110">
        <f t="shared" si="8"/>
        <v>171860670.51999998</v>
      </c>
    </row>
    <row r="214" spans="1:23" s="116" customFormat="1" ht="12.75">
      <c r="A214" s="111"/>
      <c r="B214" s="275" t="s">
        <v>291</v>
      </c>
      <c r="C214" s="234"/>
      <c r="D214" s="234"/>
      <c r="E214" s="234"/>
      <c r="F214" s="276"/>
      <c r="G214" s="112" t="s">
        <v>292</v>
      </c>
      <c r="H214" s="113">
        <f aca="true" t="shared" si="9" ref="H214:U214">SUM(H213/$E$217)</f>
        <v>0.09022756015698886</v>
      </c>
      <c r="I214" s="113">
        <f t="shared" si="9"/>
        <v>0.1324438236014991</v>
      </c>
      <c r="J214" s="113">
        <f t="shared" si="9"/>
        <v>0.13507198474460655</v>
      </c>
      <c r="K214" s="113">
        <f t="shared" si="9"/>
        <v>0.14033263125267345</v>
      </c>
      <c r="L214" s="113">
        <f t="shared" si="9"/>
        <v>0.139138667474316</v>
      </c>
      <c r="M214" s="113">
        <f t="shared" si="9"/>
        <v>0.13903843489460227</v>
      </c>
      <c r="N214" s="113">
        <f t="shared" si="9"/>
        <v>0.14100669095495597</v>
      </c>
      <c r="O214" s="113">
        <f t="shared" si="9"/>
        <v>0.13889979976546576</v>
      </c>
      <c r="P214" s="113">
        <f t="shared" si="9"/>
        <v>0.13431475584203814</v>
      </c>
      <c r="Q214" s="113">
        <f t="shared" si="9"/>
        <v>0.12888531953203156</v>
      </c>
      <c r="R214" s="113">
        <f t="shared" si="9"/>
        <v>0.1121971250151564</v>
      </c>
      <c r="S214" s="113">
        <f t="shared" si="9"/>
        <v>0.09401853972642435</v>
      </c>
      <c r="T214" s="113">
        <f t="shared" si="9"/>
        <v>0.09047073882674406</v>
      </c>
      <c r="U214" s="113">
        <f t="shared" si="9"/>
        <v>0.0866818455502114</v>
      </c>
      <c r="V214" s="114"/>
      <c r="W214" s="115"/>
    </row>
    <row r="215" spans="1:23" s="1" customFormat="1" ht="12.75">
      <c r="A215" s="117"/>
      <c r="B215" s="275" t="s">
        <v>293</v>
      </c>
      <c r="C215" s="234"/>
      <c r="D215" s="234"/>
      <c r="E215" s="234"/>
      <c r="F215" s="234"/>
      <c r="G215" s="118" t="s">
        <v>292</v>
      </c>
      <c r="H215" s="113">
        <f aca="true" t="shared" si="10" ref="H215:U215">SUM((H213-H219)/$E$217)</f>
        <v>0.09022756015698886</v>
      </c>
      <c r="I215" s="113">
        <f t="shared" si="10"/>
        <v>0.1324438236014991</v>
      </c>
      <c r="J215" s="113">
        <f t="shared" si="10"/>
        <v>0.13507198474460655</v>
      </c>
      <c r="K215" s="113">
        <f t="shared" si="10"/>
        <v>0.14033263125267345</v>
      </c>
      <c r="L215" s="113">
        <f t="shared" si="10"/>
        <v>0.139138667474316</v>
      </c>
      <c r="M215" s="113">
        <f t="shared" si="10"/>
        <v>0.13903843489460227</v>
      </c>
      <c r="N215" s="113">
        <f t="shared" si="10"/>
        <v>0.14100669095495597</v>
      </c>
      <c r="O215" s="113">
        <f t="shared" si="10"/>
        <v>0.13889979976546576</v>
      </c>
      <c r="P215" s="113">
        <f t="shared" si="10"/>
        <v>0.13431475584203814</v>
      </c>
      <c r="Q215" s="113">
        <f t="shared" si="10"/>
        <v>0.12888531953203156</v>
      </c>
      <c r="R215" s="113">
        <f t="shared" si="10"/>
        <v>0.1121971250151564</v>
      </c>
      <c r="S215" s="113">
        <f t="shared" si="10"/>
        <v>0.09401853972642435</v>
      </c>
      <c r="T215" s="113">
        <f t="shared" si="10"/>
        <v>0.09047073882674406</v>
      </c>
      <c r="U215" s="113">
        <f t="shared" si="10"/>
        <v>0.0866818455502114</v>
      </c>
      <c r="V215" s="113"/>
      <c r="W215" s="119"/>
    </row>
    <row r="216" spans="2:23" s="1" customFormat="1" ht="15" customHeight="1">
      <c r="B216" s="239" t="s">
        <v>294</v>
      </c>
      <c r="C216" s="240"/>
      <c r="D216" s="241"/>
      <c r="E216" s="120">
        <f>SUM(E7:E210)</f>
        <v>143685805.18</v>
      </c>
      <c r="F216" s="121"/>
      <c r="G216" s="122"/>
      <c r="H216" s="123"/>
      <c r="I216" s="123"/>
      <c r="J216" s="123"/>
      <c r="K216" s="123"/>
      <c r="L216" s="123"/>
      <c r="M216" s="123"/>
      <c r="N216" s="123"/>
      <c r="O216" s="123"/>
      <c r="P216" s="123"/>
      <c r="Q216" s="123"/>
      <c r="R216" s="123"/>
      <c r="S216" s="123"/>
      <c r="T216" s="123"/>
      <c r="W216" s="123"/>
    </row>
    <row r="217" spans="2:23" s="1" customFormat="1" ht="15" customHeight="1">
      <c r="B217" s="239" t="s">
        <v>295</v>
      </c>
      <c r="C217" s="240"/>
      <c r="D217" s="241"/>
      <c r="E217" s="124">
        <v>69376644</v>
      </c>
      <c r="F217" s="125"/>
      <c r="G217" s="126"/>
      <c r="H217" s="123"/>
      <c r="I217" s="123"/>
      <c r="J217" s="123"/>
      <c r="K217" s="123"/>
      <c r="L217" s="123"/>
      <c r="M217" s="123"/>
      <c r="N217" s="123"/>
      <c r="O217" s="123"/>
      <c r="P217" s="123"/>
      <c r="Q217" s="123"/>
      <c r="R217" s="123"/>
      <c r="S217" s="123"/>
      <c r="T217" s="123"/>
      <c r="W217" s="123"/>
    </row>
    <row r="218" spans="3:23" ht="15" customHeight="1">
      <c r="C218" s="122"/>
      <c r="D218" s="122"/>
      <c r="E218" s="128"/>
      <c r="F218" s="129"/>
      <c r="G218" s="129"/>
      <c r="H218" s="130"/>
      <c r="I218" s="130"/>
      <c r="J218" s="130"/>
      <c r="K218" s="130"/>
      <c r="L218" s="130"/>
      <c r="M218" s="130"/>
      <c r="N218" s="130"/>
      <c r="O218" s="130"/>
      <c r="P218" s="130"/>
      <c r="Q218" s="130"/>
      <c r="R218" s="130"/>
      <c r="S218" s="130"/>
      <c r="T218" s="130"/>
      <c r="W218" s="123"/>
    </row>
    <row r="219" spans="3:23" ht="15" customHeight="1" hidden="1">
      <c r="C219" s="128"/>
      <c r="D219" s="122"/>
      <c r="E219" s="262" t="s">
        <v>296</v>
      </c>
      <c r="F219" s="262"/>
      <c r="G219" s="262"/>
      <c r="H219" s="130"/>
      <c r="I219" s="130"/>
      <c r="J219" s="130"/>
      <c r="K219" s="130"/>
      <c r="L219" s="130"/>
      <c r="M219" s="130"/>
      <c r="N219" s="130"/>
      <c r="O219" s="130"/>
      <c r="P219" s="130"/>
      <c r="Q219" s="130"/>
      <c r="R219" s="130"/>
      <c r="S219" s="130"/>
      <c r="T219" s="130"/>
      <c r="W219" s="123"/>
    </row>
    <row r="220" spans="3:23" ht="27.75" customHeight="1" hidden="1">
      <c r="C220" s="122"/>
      <c r="D220" s="122"/>
      <c r="E220" s="263" t="s">
        <v>297</v>
      </c>
      <c r="F220" s="263"/>
      <c r="G220" s="263"/>
      <c r="H220" s="130"/>
      <c r="I220" s="130"/>
      <c r="J220" s="130"/>
      <c r="K220" s="130"/>
      <c r="L220" s="130"/>
      <c r="M220" s="130"/>
      <c r="N220" s="130"/>
      <c r="O220" s="130"/>
      <c r="P220" s="130"/>
      <c r="Q220" s="130"/>
      <c r="R220" s="130"/>
      <c r="S220" s="130"/>
      <c r="T220" s="130"/>
      <c r="U220" s="131"/>
      <c r="V220" s="131"/>
      <c r="W220" s="123"/>
    </row>
    <row r="221" spans="3:23" ht="12.75" hidden="1">
      <c r="C221" s="122"/>
      <c r="D221" s="122"/>
      <c r="E221" s="264" t="s">
        <v>298</v>
      </c>
      <c r="F221" s="264"/>
      <c r="G221" s="264"/>
      <c r="H221" s="130"/>
      <c r="I221" s="130"/>
      <c r="J221" s="130"/>
      <c r="K221" s="130"/>
      <c r="L221" s="130"/>
      <c r="M221" s="130"/>
      <c r="N221" s="130"/>
      <c r="O221" s="130"/>
      <c r="P221" s="130"/>
      <c r="Q221" s="130"/>
      <c r="R221" s="130"/>
      <c r="S221" s="130"/>
      <c r="T221" s="130"/>
      <c r="U221" s="131"/>
      <c r="V221" s="131"/>
      <c r="W221" s="123"/>
    </row>
    <row r="222" spans="3:23" ht="15" customHeight="1" hidden="1">
      <c r="C222" s="122"/>
      <c r="D222" s="122"/>
      <c r="E222" s="265" t="s">
        <v>299</v>
      </c>
      <c r="F222" s="265"/>
      <c r="G222" s="265"/>
      <c r="H222" s="130"/>
      <c r="I222" s="130"/>
      <c r="J222" s="130"/>
      <c r="K222" s="130"/>
      <c r="L222" s="130"/>
      <c r="M222" s="130"/>
      <c r="N222" s="130"/>
      <c r="O222" s="130"/>
      <c r="P222" s="130"/>
      <c r="Q222" s="130"/>
      <c r="R222" s="130"/>
      <c r="S222" s="130"/>
      <c r="T222" s="130"/>
      <c r="U222" s="131"/>
      <c r="V222" s="131"/>
      <c r="W222" s="123"/>
    </row>
    <row r="223" spans="3:23" ht="15" customHeight="1" hidden="1">
      <c r="C223" s="122"/>
      <c r="D223" s="122"/>
      <c r="E223" s="266" t="s">
        <v>12</v>
      </c>
      <c r="F223" s="267"/>
      <c r="G223" s="268"/>
      <c r="H223" s="130"/>
      <c r="I223" s="130"/>
      <c r="J223" s="130"/>
      <c r="K223" s="130"/>
      <c r="L223" s="130"/>
      <c r="M223" s="130"/>
      <c r="N223" s="130"/>
      <c r="O223" s="130"/>
      <c r="P223" s="130"/>
      <c r="Q223" s="130"/>
      <c r="R223" s="130"/>
      <c r="S223" s="130"/>
      <c r="T223" s="130"/>
      <c r="U223" s="131"/>
      <c r="V223" s="131"/>
      <c r="W223" s="123"/>
    </row>
    <row r="224" spans="4:23" ht="12.75" hidden="1">
      <c r="D224" s="3"/>
      <c r="E224" s="133"/>
      <c r="F224" s="134"/>
      <c r="G224" s="134"/>
      <c r="H224" s="135"/>
      <c r="I224" s="135"/>
      <c r="J224" s="135"/>
      <c r="K224" s="135"/>
      <c r="L224" s="135"/>
      <c r="M224" s="135"/>
      <c r="N224" s="135"/>
      <c r="O224" s="135"/>
      <c r="P224" s="135"/>
      <c r="Q224" s="135"/>
      <c r="R224" s="135"/>
      <c r="S224" s="135"/>
      <c r="T224" s="135"/>
      <c r="W224" s="136"/>
    </row>
    <row r="225" spans="1:23" s="165" customFormat="1" ht="15" customHeight="1">
      <c r="A225" s="1"/>
      <c r="B225" s="26"/>
      <c r="C225" s="236" t="s">
        <v>300</v>
      </c>
      <c r="D225" s="236"/>
      <c r="E225" s="236"/>
      <c r="F225" s="236"/>
      <c r="G225" s="236"/>
      <c r="H225" s="213" t="s">
        <v>335</v>
      </c>
      <c r="I225" s="210">
        <f aca="true" t="shared" si="11" ref="I225:U225">I211-H211</f>
        <v>2574940.68</v>
      </c>
      <c r="J225" s="210">
        <f t="shared" si="11"/>
        <v>547590</v>
      </c>
      <c r="K225" s="210">
        <f t="shared" si="11"/>
        <v>1230886</v>
      </c>
      <c r="L225" s="210">
        <f t="shared" si="11"/>
        <v>289076.7999999998</v>
      </c>
      <c r="M225" s="210">
        <f t="shared" si="11"/>
        <v>238526.2000000002</v>
      </c>
      <c r="N225" s="210">
        <f t="shared" si="11"/>
        <v>382386</v>
      </c>
      <c r="O225" s="210">
        <f t="shared" si="11"/>
        <v>111945.95999999996</v>
      </c>
      <c r="P225" s="210">
        <f t="shared" si="11"/>
        <v>-62629.95999999996</v>
      </c>
      <c r="Q225" s="210">
        <f t="shared" si="11"/>
        <v>-108236.0700000003</v>
      </c>
      <c r="R225" s="210">
        <f t="shared" si="11"/>
        <v>-909285.9299999997</v>
      </c>
      <c r="S225" s="210">
        <f t="shared" si="11"/>
        <v>-1048769.2400000002</v>
      </c>
      <c r="T225" s="210">
        <f t="shared" si="11"/>
        <v>-73734.51999999955</v>
      </c>
      <c r="U225" s="210">
        <f t="shared" si="11"/>
        <v>-84130.70000000019</v>
      </c>
      <c r="V225" s="211"/>
      <c r="W225" s="137"/>
    </row>
    <row r="226" spans="1:23" s="165" customFormat="1" ht="15" customHeight="1">
      <c r="A226" s="1"/>
      <c r="B226" s="26"/>
      <c r="C226" s="236" t="s">
        <v>334</v>
      </c>
      <c r="D226" s="236"/>
      <c r="E226" s="236"/>
      <c r="F226" s="236"/>
      <c r="G226" s="236"/>
      <c r="H226" s="213" t="s">
        <v>335</v>
      </c>
      <c r="I226" s="210">
        <f aca="true" t="shared" si="12" ref="I226:U226">I212-H212</f>
        <v>353882</v>
      </c>
      <c r="J226" s="210">
        <f t="shared" si="12"/>
        <v>-365257</v>
      </c>
      <c r="K226" s="210">
        <f t="shared" si="12"/>
        <v>-865920</v>
      </c>
      <c r="L226" s="210">
        <f t="shared" si="12"/>
        <v>-371910</v>
      </c>
      <c r="M226" s="210">
        <f t="shared" si="12"/>
        <v>-245480</v>
      </c>
      <c r="N226" s="210">
        <f t="shared" si="12"/>
        <v>-245835</v>
      </c>
      <c r="O226" s="210">
        <f t="shared" si="12"/>
        <v>-258115</v>
      </c>
      <c r="P226" s="210">
        <f t="shared" si="12"/>
        <v>-255465</v>
      </c>
      <c r="Q226" s="210">
        <f t="shared" si="12"/>
        <v>-268440</v>
      </c>
      <c r="R226" s="210">
        <f t="shared" si="12"/>
        <v>-248485</v>
      </c>
      <c r="S226" s="210">
        <f t="shared" si="12"/>
        <v>-212400</v>
      </c>
      <c r="T226" s="210">
        <f t="shared" si="12"/>
        <v>-172400</v>
      </c>
      <c r="U226" s="210">
        <f t="shared" si="12"/>
        <v>-178730</v>
      </c>
      <c r="V226" s="211"/>
      <c r="W226" s="137"/>
    </row>
    <row r="227" spans="1:23" s="165" customFormat="1" ht="15" customHeight="1">
      <c r="A227" s="1"/>
      <c r="B227" s="26"/>
      <c r="C227" s="236" t="s">
        <v>301</v>
      </c>
      <c r="D227" s="236"/>
      <c r="E227" s="236"/>
      <c r="F227" s="236"/>
      <c r="G227" s="236"/>
      <c r="H227" s="213" t="s">
        <v>335</v>
      </c>
      <c r="I227" s="210">
        <f aca="true" t="shared" si="13" ref="I227:U227">I213-H213</f>
        <v>2928822.6799999997</v>
      </c>
      <c r="J227" s="210">
        <f t="shared" si="13"/>
        <v>182333</v>
      </c>
      <c r="K227" s="210">
        <f t="shared" si="13"/>
        <v>364966</v>
      </c>
      <c r="L227" s="210">
        <f t="shared" si="13"/>
        <v>-82833.19999999925</v>
      </c>
      <c r="M227" s="210">
        <f t="shared" si="13"/>
        <v>-6953.800000000745</v>
      </c>
      <c r="N227" s="210">
        <f t="shared" si="13"/>
        <v>136551</v>
      </c>
      <c r="O227" s="210">
        <f t="shared" si="13"/>
        <v>-146169.0399999991</v>
      </c>
      <c r="P227" s="210">
        <f t="shared" si="13"/>
        <v>-318094.9600000009</v>
      </c>
      <c r="Q227" s="210">
        <f t="shared" si="13"/>
        <v>-376676.0700000003</v>
      </c>
      <c r="R227" s="210">
        <f t="shared" si="13"/>
        <v>-1157770.9299999997</v>
      </c>
      <c r="S227" s="210">
        <f t="shared" si="13"/>
        <v>-1261169.2400000002</v>
      </c>
      <c r="T227" s="210">
        <f t="shared" si="13"/>
        <v>-246134.51999999955</v>
      </c>
      <c r="U227" s="210">
        <f t="shared" si="13"/>
        <v>-262860.7000000002</v>
      </c>
      <c r="V227" s="211"/>
      <c r="W227" s="137"/>
    </row>
    <row r="228" spans="1:23" s="165" customFormat="1" ht="12.75">
      <c r="A228" s="139"/>
      <c r="B228" s="140"/>
      <c r="C228" s="139"/>
      <c r="D228" s="139"/>
      <c r="E228" s="18"/>
      <c r="F228" s="212"/>
      <c r="G228" s="212"/>
      <c r="H228" s="145"/>
      <c r="I228" s="145"/>
      <c r="J228" s="145"/>
      <c r="K228" s="145"/>
      <c r="L228" s="145"/>
      <c r="M228" s="145"/>
      <c r="N228" s="145"/>
      <c r="O228" s="145"/>
      <c r="P228" s="145"/>
      <c r="Q228" s="145"/>
      <c r="R228" s="145"/>
      <c r="S228" s="145"/>
      <c r="T228" s="145"/>
      <c r="U228" s="145"/>
      <c r="V228" s="145"/>
      <c r="W228" s="145"/>
    </row>
    <row r="229" spans="1:23" s="138" customFormat="1" ht="12.75">
      <c r="A229" s="139"/>
      <c r="B229" s="140"/>
      <c r="C229" s="141"/>
      <c r="D229" s="141"/>
      <c r="E229" s="142"/>
      <c r="F229" s="143"/>
      <c r="G229" s="143"/>
      <c r="H229" s="144"/>
      <c r="I229" s="144"/>
      <c r="J229" s="144"/>
      <c r="K229" s="144"/>
      <c r="L229" s="144"/>
      <c r="M229" s="144"/>
      <c r="N229" s="144"/>
      <c r="O229" s="144"/>
      <c r="P229" s="144"/>
      <c r="Q229" s="144"/>
      <c r="R229" s="144"/>
      <c r="S229" s="144"/>
      <c r="T229" s="144"/>
      <c r="U229" s="144"/>
      <c r="V229" s="144"/>
      <c r="W229" s="145"/>
    </row>
    <row r="230" spans="1:23" s="138" customFormat="1" ht="12.75">
      <c r="A230" s="139"/>
      <c r="B230" s="140"/>
      <c r="C230" s="141"/>
      <c r="D230" s="141"/>
      <c r="E230" s="142"/>
      <c r="F230" s="143"/>
      <c r="G230" s="143"/>
      <c r="H230" s="144"/>
      <c r="I230" s="144"/>
      <c r="J230" s="144"/>
      <c r="K230" s="144"/>
      <c r="L230" s="144"/>
      <c r="M230" s="144"/>
      <c r="N230" s="144"/>
      <c r="O230" s="144"/>
      <c r="P230" s="144"/>
      <c r="Q230" s="144"/>
      <c r="R230" s="144"/>
      <c r="S230" s="144"/>
      <c r="T230" s="144"/>
      <c r="U230" s="144"/>
      <c r="V230" s="144"/>
      <c r="W230" s="145"/>
    </row>
    <row r="231" spans="1:23" s="138" customFormat="1" ht="12.75">
      <c r="A231" s="139"/>
      <c r="B231" s="146" t="s">
        <v>302</v>
      </c>
      <c r="C231" s="141"/>
      <c r="D231" s="141"/>
      <c r="E231" s="142"/>
      <c r="F231" s="143"/>
      <c r="G231" s="143"/>
      <c r="H231" s="144"/>
      <c r="I231" s="144"/>
      <c r="J231" s="144"/>
      <c r="K231" s="144"/>
      <c r="L231" s="144"/>
      <c r="M231" s="144"/>
      <c r="N231" s="144"/>
      <c r="O231" s="144"/>
      <c r="P231" s="144"/>
      <c r="Q231" s="144"/>
      <c r="R231" s="144"/>
      <c r="S231" s="144"/>
      <c r="T231" s="144"/>
      <c r="U231" s="144"/>
      <c r="V231" s="144"/>
      <c r="W231" s="145"/>
    </row>
    <row r="232" spans="1:23" s="138" customFormat="1" ht="12.75" customHeight="1">
      <c r="A232" s="246">
        <v>1</v>
      </c>
      <c r="B232" s="68" t="s">
        <v>13</v>
      </c>
      <c r="C232" s="261" t="s">
        <v>303</v>
      </c>
      <c r="D232" s="22"/>
      <c r="E232" s="257">
        <v>5122338.52</v>
      </c>
      <c r="F232" s="259" t="s">
        <v>304</v>
      </c>
      <c r="G232" s="147" t="s">
        <v>16</v>
      </c>
      <c r="H232" s="149">
        <v>216000</v>
      </c>
      <c r="I232" s="149">
        <v>216000</v>
      </c>
      <c r="J232" s="149">
        <v>216000</v>
      </c>
      <c r="K232" s="149">
        <v>216000</v>
      </c>
      <c r="L232" s="149">
        <v>216000</v>
      </c>
      <c r="M232" s="149">
        <v>216000</v>
      </c>
      <c r="N232" s="149">
        <v>216000</v>
      </c>
      <c r="O232" s="149">
        <v>0</v>
      </c>
      <c r="P232" s="149">
        <v>0</v>
      </c>
      <c r="Q232" s="149">
        <v>0</v>
      </c>
      <c r="R232" s="149">
        <v>0</v>
      </c>
      <c r="S232" s="149">
        <v>0</v>
      </c>
      <c r="T232" s="149">
        <v>0</v>
      </c>
      <c r="U232" s="149">
        <v>0</v>
      </c>
      <c r="V232" s="149">
        <v>0</v>
      </c>
      <c r="W232" s="25">
        <f aca="true" t="shared" si="14" ref="W232:W243">SUM(H232:V232)</f>
        <v>1512000</v>
      </c>
    </row>
    <row r="233" spans="1:23" s="138" customFormat="1" ht="12.75">
      <c r="A233" s="247"/>
      <c r="B233" s="150" t="s">
        <v>305</v>
      </c>
      <c r="C233" s="249"/>
      <c r="D233" s="33"/>
      <c r="E233" s="258"/>
      <c r="F233" s="260"/>
      <c r="G233" s="151">
        <v>0.03371</v>
      </c>
      <c r="H233" s="153">
        <v>50685</v>
      </c>
      <c r="I233" s="153">
        <v>43160</v>
      </c>
      <c r="J233" s="153">
        <v>35775</v>
      </c>
      <c r="K233" s="153">
        <v>28395</v>
      </c>
      <c r="L233" s="153">
        <v>21075</v>
      </c>
      <c r="M233" s="153">
        <v>13630</v>
      </c>
      <c r="N233" s="153">
        <v>6245</v>
      </c>
      <c r="O233" s="153">
        <v>410</v>
      </c>
      <c r="P233" s="153">
        <v>0</v>
      </c>
      <c r="Q233" s="153">
        <v>0</v>
      </c>
      <c r="R233" s="153">
        <v>0</v>
      </c>
      <c r="S233" s="153">
        <v>0</v>
      </c>
      <c r="T233" s="153">
        <v>0</v>
      </c>
      <c r="U233" s="153">
        <v>0</v>
      </c>
      <c r="V233" s="153">
        <v>0</v>
      </c>
      <c r="W233" s="30">
        <f t="shared" si="14"/>
        <v>199375</v>
      </c>
    </row>
    <row r="234" spans="1:23" s="138" customFormat="1" ht="12.75" customHeight="1">
      <c r="A234" s="246">
        <v>2</v>
      </c>
      <c r="B234" s="68" t="s">
        <v>13</v>
      </c>
      <c r="C234" s="261" t="s">
        <v>306</v>
      </c>
      <c r="D234" s="22"/>
      <c r="E234" s="257">
        <v>522193.95</v>
      </c>
      <c r="F234" s="259" t="s">
        <v>307</v>
      </c>
      <c r="G234" s="147" t="s">
        <v>16</v>
      </c>
      <c r="H234" s="148">
        <v>32139.84</v>
      </c>
      <c r="I234" s="148">
        <v>32139.84</v>
      </c>
      <c r="J234" s="148">
        <v>32139.84</v>
      </c>
      <c r="K234" s="148">
        <v>32139.84</v>
      </c>
      <c r="L234" s="148">
        <v>32139.84</v>
      </c>
      <c r="M234" s="148">
        <v>32139.84</v>
      </c>
      <c r="N234" s="148">
        <v>32061.39</v>
      </c>
      <c r="O234" s="149">
        <v>0</v>
      </c>
      <c r="P234" s="149">
        <v>0</v>
      </c>
      <c r="Q234" s="149">
        <v>0</v>
      </c>
      <c r="R234" s="149">
        <v>0</v>
      </c>
      <c r="S234" s="149">
        <v>0</v>
      </c>
      <c r="T234" s="149">
        <v>0</v>
      </c>
      <c r="U234" s="149">
        <v>0</v>
      </c>
      <c r="V234" s="149">
        <v>0</v>
      </c>
      <c r="W234" s="25">
        <f t="shared" si="14"/>
        <v>224900.43</v>
      </c>
    </row>
    <row r="235" spans="1:23" s="138" customFormat="1" ht="12.75">
      <c r="A235" s="247"/>
      <c r="B235" s="150" t="s">
        <v>308</v>
      </c>
      <c r="C235" s="249"/>
      <c r="D235" s="33"/>
      <c r="E235" s="258"/>
      <c r="F235" s="260"/>
      <c r="G235" s="151">
        <v>0.03367</v>
      </c>
      <c r="H235" s="153">
        <f>1120+6410</f>
        <v>7530</v>
      </c>
      <c r="I235" s="153">
        <v>6415</v>
      </c>
      <c r="J235" s="153">
        <v>5315</v>
      </c>
      <c r="K235" s="153">
        <v>4220</v>
      </c>
      <c r="L235" s="153">
        <v>3130</v>
      </c>
      <c r="M235" s="153">
        <v>2025</v>
      </c>
      <c r="N235" s="153">
        <v>930</v>
      </c>
      <c r="O235" s="153">
        <v>65</v>
      </c>
      <c r="P235" s="153">
        <v>0</v>
      </c>
      <c r="Q235" s="153">
        <v>0</v>
      </c>
      <c r="R235" s="153">
        <v>0</v>
      </c>
      <c r="S235" s="153">
        <v>0</v>
      </c>
      <c r="T235" s="153">
        <v>0</v>
      </c>
      <c r="U235" s="153">
        <v>0</v>
      </c>
      <c r="V235" s="153">
        <v>0</v>
      </c>
      <c r="W235" s="30">
        <f t="shared" si="14"/>
        <v>29630</v>
      </c>
    </row>
    <row r="236" spans="1:23" s="138" customFormat="1" ht="12.75" customHeight="1">
      <c r="A236" s="246">
        <v>3</v>
      </c>
      <c r="B236" s="68" t="s">
        <v>13</v>
      </c>
      <c r="C236" s="261" t="s">
        <v>309</v>
      </c>
      <c r="D236" s="22"/>
      <c r="E236" s="257">
        <f>6033386-77724.71</f>
        <v>5955661.29</v>
      </c>
      <c r="F236" s="261" t="s">
        <v>310</v>
      </c>
      <c r="G236" s="147" t="s">
        <v>16</v>
      </c>
      <c r="H236" s="148">
        <v>212568</v>
      </c>
      <c r="I236" s="148">
        <v>212568</v>
      </c>
      <c r="J236" s="148">
        <v>212568</v>
      </c>
      <c r="K236" s="148">
        <v>212568</v>
      </c>
      <c r="L236" s="148">
        <v>212568</v>
      </c>
      <c r="M236" s="148">
        <v>212568</v>
      </c>
      <c r="N236" s="148">
        <v>212568</v>
      </c>
      <c r="O236" s="148">
        <v>212568</v>
      </c>
      <c r="P236" s="148">
        <v>212568</v>
      </c>
      <c r="Q236" s="148">
        <v>212568</v>
      </c>
      <c r="R236" s="148">
        <v>212568</v>
      </c>
      <c r="S236" s="148">
        <v>212568</v>
      </c>
      <c r="T236" s="148">
        <v>212568</v>
      </c>
      <c r="U236" s="148">
        <v>212568</v>
      </c>
      <c r="V236" s="154">
        <v>2603958</v>
      </c>
      <c r="W236" s="25">
        <f t="shared" si="14"/>
        <v>5579910</v>
      </c>
    </row>
    <row r="237" spans="1:23" s="138" customFormat="1" ht="12.75">
      <c r="A237" s="247"/>
      <c r="B237" s="150" t="s">
        <v>311</v>
      </c>
      <c r="C237" s="249"/>
      <c r="D237" s="33"/>
      <c r="E237" s="258"/>
      <c r="F237" s="249"/>
      <c r="G237" s="151">
        <v>0.05377</v>
      </c>
      <c r="H237" s="152">
        <v>243425</v>
      </c>
      <c r="I237" s="152">
        <v>231165</v>
      </c>
      <c r="J237" s="152">
        <v>219580</v>
      </c>
      <c r="K237" s="152">
        <v>207980</v>
      </c>
      <c r="L237" s="152">
        <v>196945</v>
      </c>
      <c r="M237" s="152">
        <v>184815</v>
      </c>
      <c r="N237" s="152">
        <v>173225</v>
      </c>
      <c r="O237" s="152">
        <v>161635</v>
      </c>
      <c r="P237" s="152">
        <v>150465</v>
      </c>
      <c r="Q237" s="152">
        <v>138460</v>
      </c>
      <c r="R237" s="152">
        <v>126870</v>
      </c>
      <c r="S237" s="152">
        <v>115280</v>
      </c>
      <c r="T237" s="152">
        <v>103980</v>
      </c>
      <c r="U237" s="152">
        <v>92105</v>
      </c>
      <c r="V237" s="155">
        <v>321635</v>
      </c>
      <c r="W237" s="30">
        <f t="shared" si="14"/>
        <v>2667565</v>
      </c>
    </row>
    <row r="238" spans="1:23" s="138" customFormat="1" ht="12.75" customHeight="1">
      <c r="A238" s="246">
        <v>4</v>
      </c>
      <c r="B238" s="68" t="s">
        <v>13</v>
      </c>
      <c r="C238" s="248" t="s">
        <v>312</v>
      </c>
      <c r="D238" s="22"/>
      <c r="E238" s="257">
        <v>203978</v>
      </c>
      <c r="F238" s="259" t="s">
        <v>313</v>
      </c>
      <c r="G238" s="147" t="s">
        <v>16</v>
      </c>
      <c r="H238" s="149">
        <v>9178.16</v>
      </c>
      <c r="I238" s="149">
        <v>9178.16</v>
      </c>
      <c r="J238" s="149">
        <v>9178.16</v>
      </c>
      <c r="K238" s="149">
        <v>9178.16</v>
      </c>
      <c r="L238" s="149">
        <v>9178.16</v>
      </c>
      <c r="M238" s="149">
        <v>9178.16</v>
      </c>
      <c r="N238" s="149">
        <v>9178.16</v>
      </c>
      <c r="O238" s="149">
        <v>9178.16</v>
      </c>
      <c r="P238" s="149">
        <v>9178.16</v>
      </c>
      <c r="Q238" s="149">
        <v>9178.16</v>
      </c>
      <c r="R238" s="149">
        <v>9178.16</v>
      </c>
      <c r="S238" s="149">
        <v>9178.16</v>
      </c>
      <c r="T238" s="149">
        <v>9178.16</v>
      </c>
      <c r="U238" s="149">
        <v>9178.16</v>
      </c>
      <c r="V238" s="154">
        <v>39007.44</v>
      </c>
      <c r="W238" s="25">
        <f t="shared" si="14"/>
        <v>167501.68000000005</v>
      </c>
    </row>
    <row r="239" spans="1:23" s="138" customFormat="1" ht="12.75">
      <c r="A239" s="247"/>
      <c r="B239" s="150" t="s">
        <v>314</v>
      </c>
      <c r="C239" s="249"/>
      <c r="D239" s="33"/>
      <c r="E239" s="258"/>
      <c r="F239" s="260"/>
      <c r="G239" s="151">
        <v>0.04329</v>
      </c>
      <c r="H239" s="153">
        <v>7310</v>
      </c>
      <c r="I239" s="153">
        <v>6890</v>
      </c>
      <c r="J239" s="153">
        <v>6485</v>
      </c>
      <c r="K239" s="153">
        <v>6085</v>
      </c>
      <c r="L239" s="153">
        <v>5700</v>
      </c>
      <c r="M239" s="153">
        <v>5280</v>
      </c>
      <c r="N239" s="153">
        <v>4875</v>
      </c>
      <c r="O239" s="153">
        <v>4470</v>
      </c>
      <c r="P239" s="153">
        <v>4080</v>
      </c>
      <c r="Q239" s="153">
        <v>3665</v>
      </c>
      <c r="R239" s="153">
        <v>3265</v>
      </c>
      <c r="S239" s="153">
        <v>2860</v>
      </c>
      <c r="T239" s="153">
        <v>2465</v>
      </c>
      <c r="U239" s="153">
        <v>2055</v>
      </c>
      <c r="V239" s="155">
        <v>4255</v>
      </c>
      <c r="W239" s="30">
        <f t="shared" si="14"/>
        <v>69740</v>
      </c>
    </row>
    <row r="240" spans="1:23" s="138" customFormat="1" ht="12.75" customHeight="1">
      <c r="A240" s="246">
        <v>5</v>
      </c>
      <c r="B240" s="68" t="s">
        <v>13</v>
      </c>
      <c r="C240" s="248" t="s">
        <v>312</v>
      </c>
      <c r="D240" s="22"/>
      <c r="E240" s="257">
        <v>150829</v>
      </c>
      <c r="F240" s="259" t="s">
        <v>315</v>
      </c>
      <c r="G240" s="147" t="s">
        <v>16</v>
      </c>
      <c r="H240" s="149">
        <v>4921.72</v>
      </c>
      <c r="I240" s="149">
        <v>4921.72</v>
      </c>
      <c r="J240" s="149">
        <v>4921.72</v>
      </c>
      <c r="K240" s="149">
        <v>4921.72</v>
      </c>
      <c r="L240" s="149">
        <v>4921.72</v>
      </c>
      <c r="M240" s="149">
        <v>4921.72</v>
      </c>
      <c r="N240" s="149">
        <v>4921.72</v>
      </c>
      <c r="O240" s="149">
        <v>4921.72</v>
      </c>
      <c r="P240" s="149">
        <v>4921.72</v>
      </c>
      <c r="Q240" s="149">
        <v>4921.72</v>
      </c>
      <c r="R240" s="149">
        <v>4921.72</v>
      </c>
      <c r="S240" s="149">
        <v>4921.72</v>
      </c>
      <c r="T240" s="149">
        <v>4921.72</v>
      </c>
      <c r="U240" s="149">
        <v>4921.72</v>
      </c>
      <c r="V240" s="154">
        <v>22148.47</v>
      </c>
      <c r="W240" s="25">
        <f t="shared" si="14"/>
        <v>91052.55</v>
      </c>
    </row>
    <row r="241" spans="1:23" s="138" customFormat="1" ht="12.75">
      <c r="A241" s="247"/>
      <c r="B241" s="150" t="s">
        <v>316</v>
      </c>
      <c r="C241" s="249"/>
      <c r="D241" s="33"/>
      <c r="E241" s="258"/>
      <c r="F241" s="260"/>
      <c r="G241" s="151">
        <v>0.05318</v>
      </c>
      <c r="H241" s="153">
        <v>4885</v>
      </c>
      <c r="I241" s="153">
        <v>4605</v>
      </c>
      <c r="J241" s="153">
        <v>4340</v>
      </c>
      <c r="K241" s="153">
        <v>4075</v>
      </c>
      <c r="L241" s="153">
        <v>3820</v>
      </c>
      <c r="M241" s="153">
        <v>3545</v>
      </c>
      <c r="N241" s="153">
        <v>3280</v>
      </c>
      <c r="O241" s="153">
        <v>3015</v>
      </c>
      <c r="P241" s="153">
        <v>2855</v>
      </c>
      <c r="Q241" s="153">
        <v>2485</v>
      </c>
      <c r="R241" s="153">
        <v>2215</v>
      </c>
      <c r="S241" s="153">
        <v>1950</v>
      </c>
      <c r="T241" s="153">
        <v>1690</v>
      </c>
      <c r="U241" s="153">
        <v>1420</v>
      </c>
      <c r="V241" s="155">
        <v>3120</v>
      </c>
      <c r="W241" s="30">
        <f t="shared" si="14"/>
        <v>47300</v>
      </c>
    </row>
    <row r="242" spans="1:23" s="156" customFormat="1" ht="30.75" customHeight="1">
      <c r="A242" s="246">
        <v>6</v>
      </c>
      <c r="B242" s="68" t="s">
        <v>317</v>
      </c>
      <c r="C242" s="248" t="s">
        <v>318</v>
      </c>
      <c r="D242" s="22"/>
      <c r="E242" s="257">
        <v>4642560</v>
      </c>
      <c r="F242" s="261" t="s">
        <v>319</v>
      </c>
      <c r="G242" s="147" t="s">
        <v>16</v>
      </c>
      <c r="H242" s="148"/>
      <c r="I242" s="148">
        <v>309504</v>
      </c>
      <c r="J242" s="148">
        <v>309504</v>
      </c>
      <c r="K242" s="148">
        <v>309504</v>
      </c>
      <c r="L242" s="148">
        <v>309504</v>
      </c>
      <c r="M242" s="148">
        <v>309504</v>
      </c>
      <c r="N242" s="148">
        <v>309504</v>
      </c>
      <c r="O242" s="148">
        <v>309504</v>
      </c>
      <c r="P242" s="148">
        <v>309504</v>
      </c>
      <c r="Q242" s="148">
        <v>309504</v>
      </c>
      <c r="R242" s="148">
        <v>309504</v>
      </c>
      <c r="S242" s="148">
        <v>309504</v>
      </c>
      <c r="T242" s="148">
        <v>309504</v>
      </c>
      <c r="U242" s="148">
        <v>309504</v>
      </c>
      <c r="V242" s="148">
        <v>619008</v>
      </c>
      <c r="W242" s="25">
        <f t="shared" si="14"/>
        <v>4642560</v>
      </c>
    </row>
    <row r="243" spans="1:23" s="156" customFormat="1" ht="29.25" customHeight="1">
      <c r="A243" s="247"/>
      <c r="B243" s="150" t="s">
        <v>320</v>
      </c>
      <c r="C243" s="249"/>
      <c r="D243" s="33"/>
      <c r="E243" s="258"/>
      <c r="F243" s="249"/>
      <c r="G243" s="151">
        <v>0.05852</v>
      </c>
      <c r="H243" s="152">
        <v>258600</v>
      </c>
      <c r="I243" s="152">
        <v>228940</v>
      </c>
      <c r="J243" s="152">
        <v>213325</v>
      </c>
      <c r="K243" s="152">
        <v>181445</v>
      </c>
      <c r="L243" s="152">
        <v>145960</v>
      </c>
      <c r="M243" s="152">
        <v>133005</v>
      </c>
      <c r="N243" s="152">
        <v>120450</v>
      </c>
      <c r="O243" s="152">
        <v>107900</v>
      </c>
      <c r="P243" s="152">
        <v>95615</v>
      </c>
      <c r="Q243" s="152">
        <v>82795</v>
      </c>
      <c r="R243" s="152">
        <v>70245</v>
      </c>
      <c r="S243" s="152">
        <v>57690</v>
      </c>
      <c r="T243" s="152">
        <v>45270</v>
      </c>
      <c r="U243" s="152">
        <v>32585</v>
      </c>
      <c r="V243" s="152">
        <v>27570</v>
      </c>
      <c r="W243" s="30">
        <f t="shared" si="14"/>
        <v>1801395</v>
      </c>
    </row>
    <row r="244" spans="1:23" s="159" customFormat="1" ht="32.25" customHeight="1" hidden="1">
      <c r="A244" s="246"/>
      <c r="B244" s="68"/>
      <c r="C244" s="248"/>
      <c r="D244" s="86"/>
      <c r="E244" s="250"/>
      <c r="F244" s="252"/>
      <c r="G244" s="157"/>
      <c r="H244" s="158"/>
      <c r="I244" s="158"/>
      <c r="J244" s="158"/>
      <c r="K244" s="158"/>
      <c r="L244" s="158"/>
      <c r="M244" s="158"/>
      <c r="N244" s="158"/>
      <c r="O244" s="158"/>
      <c r="P244" s="158"/>
      <c r="Q244" s="158"/>
      <c r="R244" s="158"/>
      <c r="S244" s="158"/>
      <c r="T244" s="158"/>
      <c r="U244" s="158"/>
      <c r="V244" s="158"/>
      <c r="W244" s="25"/>
    </row>
    <row r="245" spans="1:23" s="159" customFormat="1" ht="33" customHeight="1" hidden="1">
      <c r="A245" s="247"/>
      <c r="B245" s="150"/>
      <c r="C245" s="249"/>
      <c r="D245" s="160"/>
      <c r="E245" s="251"/>
      <c r="F245" s="253"/>
      <c r="G245" s="161"/>
      <c r="H245" s="162"/>
      <c r="I245" s="162"/>
      <c r="J245" s="162"/>
      <c r="K245" s="162"/>
      <c r="L245" s="162"/>
      <c r="M245" s="162"/>
      <c r="N245" s="162"/>
      <c r="O245" s="162"/>
      <c r="P245" s="162"/>
      <c r="Q245" s="162"/>
      <c r="R245" s="162"/>
      <c r="S245" s="162"/>
      <c r="T245" s="162"/>
      <c r="U245" s="162"/>
      <c r="V245" s="162"/>
      <c r="W245" s="30"/>
    </row>
    <row r="246" spans="1:23" s="165" customFormat="1" ht="12.75">
      <c r="A246" s="99"/>
      <c r="B246" s="254" t="s">
        <v>288</v>
      </c>
      <c r="C246" s="255"/>
      <c r="D246" s="255"/>
      <c r="E246" s="255"/>
      <c r="F246" s="256"/>
      <c r="G246" s="100"/>
      <c r="H246" s="163">
        <f aca="true" t="shared" si="15" ref="H246:W247">H232+H234+H236+H238+H244+H240+H242</f>
        <v>474807.7199999999</v>
      </c>
      <c r="I246" s="163">
        <f t="shared" si="15"/>
        <v>784311.72</v>
      </c>
      <c r="J246" s="163">
        <f t="shared" si="15"/>
        <v>784311.72</v>
      </c>
      <c r="K246" s="163">
        <f t="shared" si="15"/>
        <v>784311.72</v>
      </c>
      <c r="L246" s="163">
        <f t="shared" si="15"/>
        <v>784311.72</v>
      </c>
      <c r="M246" s="163">
        <f t="shared" si="15"/>
        <v>784311.72</v>
      </c>
      <c r="N246" s="163">
        <f t="shared" si="15"/>
        <v>784233.27</v>
      </c>
      <c r="O246" s="163">
        <f t="shared" si="15"/>
        <v>536171.88</v>
      </c>
      <c r="P246" s="163">
        <f t="shared" si="15"/>
        <v>536171.88</v>
      </c>
      <c r="Q246" s="163">
        <f t="shared" si="15"/>
        <v>536171.88</v>
      </c>
      <c r="R246" s="163">
        <f t="shared" si="15"/>
        <v>536171.88</v>
      </c>
      <c r="S246" s="163">
        <f t="shared" si="15"/>
        <v>536171.88</v>
      </c>
      <c r="T246" s="163">
        <f t="shared" si="15"/>
        <v>536171.88</v>
      </c>
      <c r="U246" s="163">
        <f t="shared" si="15"/>
        <v>536171.88</v>
      </c>
      <c r="V246" s="163">
        <f t="shared" si="15"/>
        <v>3284121.91</v>
      </c>
      <c r="W246" s="164">
        <f t="shared" si="15"/>
        <v>12217924.66</v>
      </c>
    </row>
    <row r="247" spans="1:23" s="165" customFormat="1" ht="13.5" thickBot="1">
      <c r="A247" s="166"/>
      <c r="B247" s="254" t="s">
        <v>289</v>
      </c>
      <c r="C247" s="255"/>
      <c r="D247" s="255"/>
      <c r="E247" s="255"/>
      <c r="F247" s="256"/>
      <c r="G247" s="167"/>
      <c r="H247" s="163">
        <f t="shared" si="15"/>
        <v>572435</v>
      </c>
      <c r="I247" s="163">
        <f t="shared" si="15"/>
        <v>521175</v>
      </c>
      <c r="J247" s="163">
        <f t="shared" si="15"/>
        <v>484820</v>
      </c>
      <c r="K247" s="163">
        <f t="shared" si="15"/>
        <v>432200</v>
      </c>
      <c r="L247" s="163">
        <f t="shared" si="15"/>
        <v>376630</v>
      </c>
      <c r="M247" s="163">
        <f t="shared" si="15"/>
        <v>342300</v>
      </c>
      <c r="N247" s="163">
        <f t="shared" si="15"/>
        <v>309005</v>
      </c>
      <c r="O247" s="163">
        <f t="shared" si="15"/>
        <v>277495</v>
      </c>
      <c r="P247" s="163">
        <f t="shared" si="15"/>
        <v>253015</v>
      </c>
      <c r="Q247" s="163">
        <f t="shared" si="15"/>
        <v>227405</v>
      </c>
      <c r="R247" s="163">
        <f t="shared" si="15"/>
        <v>202595</v>
      </c>
      <c r="S247" s="163">
        <f t="shared" si="15"/>
        <v>177780</v>
      </c>
      <c r="T247" s="163">
        <f t="shared" si="15"/>
        <v>153405</v>
      </c>
      <c r="U247" s="163">
        <f t="shared" si="15"/>
        <v>128165</v>
      </c>
      <c r="V247" s="163">
        <f t="shared" si="15"/>
        <v>356580</v>
      </c>
      <c r="W247" s="168">
        <f t="shared" si="15"/>
        <v>4815005</v>
      </c>
    </row>
    <row r="248" spans="1:23" s="165" customFormat="1" ht="13.5" thickTop="1">
      <c r="A248" s="169"/>
      <c r="B248" s="237" t="s">
        <v>321</v>
      </c>
      <c r="C248" s="238"/>
      <c r="D248" s="238"/>
      <c r="E248" s="238"/>
      <c r="F248" s="238"/>
      <c r="G248" s="108"/>
      <c r="H248" s="109">
        <f aca="true" t="shared" si="16" ref="H248:W248">SUM(H246:H247)</f>
        <v>1047242.72</v>
      </c>
      <c r="I248" s="109">
        <f t="shared" si="16"/>
        <v>1305486.72</v>
      </c>
      <c r="J248" s="109">
        <f t="shared" si="16"/>
        <v>1269131.72</v>
      </c>
      <c r="K248" s="109">
        <f t="shared" si="16"/>
        <v>1216511.72</v>
      </c>
      <c r="L248" s="109">
        <f t="shared" si="16"/>
        <v>1160941.72</v>
      </c>
      <c r="M248" s="109">
        <f t="shared" si="16"/>
        <v>1126611.72</v>
      </c>
      <c r="N248" s="109">
        <f t="shared" si="16"/>
        <v>1093238.27</v>
      </c>
      <c r="O248" s="109">
        <f t="shared" si="16"/>
        <v>813666.88</v>
      </c>
      <c r="P248" s="109">
        <f t="shared" si="16"/>
        <v>789186.88</v>
      </c>
      <c r="Q248" s="109">
        <f t="shared" si="16"/>
        <v>763576.88</v>
      </c>
      <c r="R248" s="109">
        <f t="shared" si="16"/>
        <v>738766.88</v>
      </c>
      <c r="S248" s="109">
        <f t="shared" si="16"/>
        <v>713951.88</v>
      </c>
      <c r="T248" s="109">
        <f t="shared" si="16"/>
        <v>689576.88</v>
      </c>
      <c r="U248" s="109">
        <f t="shared" si="16"/>
        <v>664336.88</v>
      </c>
      <c r="V248" s="109">
        <f t="shared" si="16"/>
        <v>3640701.91</v>
      </c>
      <c r="W248" s="110">
        <f t="shared" si="16"/>
        <v>17032929.66</v>
      </c>
    </row>
    <row r="249" spans="1:23" s="165" customFormat="1" ht="12.75">
      <c r="A249" s="170"/>
      <c r="B249" s="239" t="s">
        <v>294</v>
      </c>
      <c r="C249" s="240"/>
      <c r="D249" s="241"/>
      <c r="E249" s="171">
        <f>E232+E234+E236+E238+E240+E242</f>
        <v>16597560.76</v>
      </c>
      <c r="F249" s="172"/>
      <c r="G249" s="170"/>
      <c r="H249" s="174"/>
      <c r="I249" s="174"/>
      <c r="J249" s="174"/>
      <c r="K249" s="174"/>
      <c r="L249" s="174"/>
      <c r="M249" s="174"/>
      <c r="N249" s="174"/>
      <c r="O249" s="174"/>
      <c r="P249" s="174"/>
      <c r="Q249" s="174"/>
      <c r="R249" s="174"/>
      <c r="S249" s="174"/>
      <c r="T249" s="174"/>
      <c r="U249" s="174"/>
      <c r="V249" s="174"/>
      <c r="W249" s="174"/>
    </row>
    <row r="250" spans="1:23" s="165" customFormat="1" ht="12.75">
      <c r="A250" s="170"/>
      <c r="B250" s="239" t="s">
        <v>295</v>
      </c>
      <c r="C250" s="240"/>
      <c r="D250" s="241"/>
      <c r="E250" s="175">
        <f>E217</f>
        <v>69376644</v>
      </c>
      <c r="F250" s="176"/>
      <c r="G250" s="176"/>
      <c r="H250" s="174"/>
      <c r="I250" s="174"/>
      <c r="J250" s="174"/>
      <c r="K250" s="174"/>
      <c r="L250" s="174"/>
      <c r="M250" s="174"/>
      <c r="N250" s="174"/>
      <c r="O250" s="174"/>
      <c r="P250" s="174"/>
      <c r="Q250" s="174"/>
      <c r="R250" s="174"/>
      <c r="S250" s="174"/>
      <c r="T250" s="174"/>
      <c r="U250" s="174"/>
      <c r="V250" s="174"/>
      <c r="W250" s="174"/>
    </row>
    <row r="251" spans="1:23" s="138" customFormat="1" ht="12.75">
      <c r="A251" s="170"/>
      <c r="B251" s="177"/>
      <c r="C251" s="177"/>
      <c r="D251" s="177"/>
      <c r="E251" s="178"/>
      <c r="F251" s="179"/>
      <c r="G251" s="179"/>
      <c r="H251" s="173"/>
      <c r="I251" s="173"/>
      <c r="J251" s="173"/>
      <c r="K251" s="173"/>
      <c r="L251" s="173"/>
      <c r="M251" s="173"/>
      <c r="N251" s="173"/>
      <c r="O251" s="173"/>
      <c r="P251" s="173"/>
      <c r="Q251" s="173"/>
      <c r="R251" s="173"/>
      <c r="S251" s="173"/>
      <c r="T251" s="173"/>
      <c r="U251" s="173"/>
      <c r="V251" s="173"/>
      <c r="W251" s="174"/>
    </row>
    <row r="252" spans="1:23" s="138" customFormat="1" ht="12.75" hidden="1">
      <c r="A252" s="170"/>
      <c r="B252" s="177"/>
      <c r="C252" s="177"/>
      <c r="D252" s="177"/>
      <c r="E252" s="242" t="s">
        <v>322</v>
      </c>
      <c r="F252" s="242"/>
      <c r="G252" s="242"/>
      <c r="H252" s="173"/>
      <c r="I252" s="173"/>
      <c r="J252" s="173"/>
      <c r="K252" s="173"/>
      <c r="L252" s="173"/>
      <c r="M252" s="173"/>
      <c r="N252" s="173"/>
      <c r="O252" s="173"/>
      <c r="P252" s="173"/>
      <c r="Q252" s="173"/>
      <c r="R252" s="173"/>
      <c r="S252" s="173"/>
      <c r="T252" s="173"/>
      <c r="U252" s="173"/>
      <c r="V252" s="173"/>
      <c r="W252" s="174"/>
    </row>
    <row r="253" spans="1:23" s="138" customFormat="1" ht="12.75" hidden="1">
      <c r="A253" s="170"/>
      <c r="B253" s="180"/>
      <c r="C253" s="172"/>
      <c r="D253" s="172"/>
      <c r="E253" s="242" t="s">
        <v>323</v>
      </c>
      <c r="F253" s="242"/>
      <c r="G253" s="242"/>
      <c r="H253" s="173"/>
      <c r="I253" s="173"/>
      <c r="J253" s="173"/>
      <c r="K253" s="173"/>
      <c r="L253" s="173"/>
      <c r="M253" s="173"/>
      <c r="N253" s="173"/>
      <c r="O253" s="173"/>
      <c r="P253" s="173"/>
      <c r="Q253" s="173"/>
      <c r="R253" s="173"/>
      <c r="S253" s="173"/>
      <c r="T253" s="173"/>
      <c r="U253" s="173"/>
      <c r="V253" s="173"/>
      <c r="W253" s="174"/>
    </row>
    <row r="254" spans="11:22" ht="12.75">
      <c r="K254" s="181"/>
      <c r="L254" s="181"/>
      <c r="M254" s="181"/>
      <c r="N254" s="181"/>
      <c r="O254" s="181"/>
      <c r="P254" s="181"/>
      <c r="Q254" s="181"/>
      <c r="R254" s="181"/>
      <c r="S254" s="181"/>
      <c r="T254" s="181"/>
      <c r="U254" s="181"/>
      <c r="V254" s="181"/>
    </row>
    <row r="255" spans="1:23" s="138" customFormat="1" ht="12" customHeight="1">
      <c r="A255" s="1"/>
      <c r="B255" s="127"/>
      <c r="C255" s="182" t="s">
        <v>324</v>
      </c>
      <c r="D255" s="183"/>
      <c r="E255" s="142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1"/>
    </row>
    <row r="256" spans="1:23" s="165" customFormat="1" ht="12.75">
      <c r="A256" s="184"/>
      <c r="B256" s="243" t="s">
        <v>288</v>
      </c>
      <c r="C256" s="244"/>
      <c r="D256" s="244"/>
      <c r="E256" s="244"/>
      <c r="F256" s="244"/>
      <c r="G256" s="245"/>
      <c r="H256" s="185">
        <f aca="true" t="shared" si="17" ref="H256:W256">H211+H246</f>
        <v>1499788.0399999998</v>
      </c>
      <c r="I256" s="185">
        <f t="shared" si="17"/>
        <v>4384232.72</v>
      </c>
      <c r="J256" s="185">
        <f t="shared" si="17"/>
        <v>4931822.72</v>
      </c>
      <c r="K256" s="185">
        <f t="shared" si="17"/>
        <v>6162708.72</v>
      </c>
      <c r="L256" s="185">
        <f t="shared" si="17"/>
        <v>6451785.52</v>
      </c>
      <c r="M256" s="185">
        <f t="shared" si="17"/>
        <v>6690311.72</v>
      </c>
      <c r="N256" s="185">
        <f t="shared" si="17"/>
        <v>7072619.27</v>
      </c>
      <c r="O256" s="185">
        <f t="shared" si="17"/>
        <v>6936503.84</v>
      </c>
      <c r="P256" s="185">
        <f t="shared" si="17"/>
        <v>6873873.88</v>
      </c>
      <c r="Q256" s="185">
        <f t="shared" si="17"/>
        <v>6765637.81</v>
      </c>
      <c r="R256" s="185">
        <f t="shared" si="17"/>
        <v>5856351.88</v>
      </c>
      <c r="S256" s="185">
        <f t="shared" si="17"/>
        <v>4807582.64</v>
      </c>
      <c r="T256" s="185">
        <f t="shared" si="17"/>
        <v>4733848.12</v>
      </c>
      <c r="U256" s="185">
        <f t="shared" si="17"/>
        <v>4649717.42</v>
      </c>
      <c r="V256" s="185">
        <f t="shared" si="17"/>
        <v>45627888.879999995</v>
      </c>
      <c r="W256" s="185">
        <f t="shared" si="17"/>
        <v>123444673.17999998</v>
      </c>
    </row>
    <row r="257" spans="1:23" s="165" customFormat="1" ht="13.5" thickBot="1">
      <c r="A257" s="186"/>
      <c r="B257" s="227" t="s">
        <v>289</v>
      </c>
      <c r="C257" s="228"/>
      <c r="D257" s="228"/>
      <c r="E257" s="228"/>
      <c r="F257" s="228"/>
      <c r="G257" s="229"/>
      <c r="H257" s="187">
        <f aca="true" t="shared" si="18" ref="H257:W257">H212+H247</f>
        <v>5807140</v>
      </c>
      <c r="I257" s="187">
        <f t="shared" si="18"/>
        <v>6109762</v>
      </c>
      <c r="J257" s="187">
        <f t="shared" si="18"/>
        <v>5708150</v>
      </c>
      <c r="K257" s="187">
        <f t="shared" si="18"/>
        <v>4789610</v>
      </c>
      <c r="L257" s="187">
        <f t="shared" si="18"/>
        <v>4362130</v>
      </c>
      <c r="M257" s="187">
        <f t="shared" si="18"/>
        <v>4082320</v>
      </c>
      <c r="N257" s="187">
        <f t="shared" si="18"/>
        <v>3803190</v>
      </c>
      <c r="O257" s="187">
        <f t="shared" si="18"/>
        <v>3513565</v>
      </c>
      <c r="P257" s="187">
        <f t="shared" si="18"/>
        <v>3233620</v>
      </c>
      <c r="Q257" s="187">
        <f t="shared" si="18"/>
        <v>2939570</v>
      </c>
      <c r="R257" s="187">
        <f t="shared" si="18"/>
        <v>2666275</v>
      </c>
      <c r="S257" s="187">
        <f t="shared" si="18"/>
        <v>2429060</v>
      </c>
      <c r="T257" s="187">
        <f t="shared" si="18"/>
        <v>2232285</v>
      </c>
      <c r="U257" s="187">
        <f t="shared" si="18"/>
        <v>2028315</v>
      </c>
      <c r="V257" s="187">
        <f t="shared" si="18"/>
        <v>11743935</v>
      </c>
      <c r="W257" s="187">
        <f t="shared" si="18"/>
        <v>65448927</v>
      </c>
    </row>
    <row r="258" spans="1:23" s="165" customFormat="1" ht="13.5" thickTop="1">
      <c r="A258" s="188"/>
      <c r="B258" s="230" t="s">
        <v>325</v>
      </c>
      <c r="C258" s="231"/>
      <c r="D258" s="231"/>
      <c r="E258" s="231"/>
      <c r="F258" s="231"/>
      <c r="G258" s="232"/>
      <c r="H258" s="189">
        <f aca="true" t="shared" si="19" ref="H258:W258">SUM(H256:H257)</f>
        <v>7306928.04</v>
      </c>
      <c r="I258" s="189">
        <f t="shared" si="19"/>
        <v>10493994.719999999</v>
      </c>
      <c r="J258" s="189">
        <f t="shared" si="19"/>
        <v>10639972.719999999</v>
      </c>
      <c r="K258" s="189">
        <f t="shared" si="19"/>
        <v>10952318.719999999</v>
      </c>
      <c r="L258" s="189">
        <f t="shared" si="19"/>
        <v>10813915.52</v>
      </c>
      <c r="M258" s="189">
        <f t="shared" si="19"/>
        <v>10772631.719999999</v>
      </c>
      <c r="N258" s="189">
        <f t="shared" si="19"/>
        <v>10875809.27</v>
      </c>
      <c r="O258" s="189">
        <f t="shared" si="19"/>
        <v>10450068.84</v>
      </c>
      <c r="P258" s="189">
        <f t="shared" si="19"/>
        <v>10107493.879999999</v>
      </c>
      <c r="Q258" s="189">
        <f t="shared" si="19"/>
        <v>9705207.809999999</v>
      </c>
      <c r="R258" s="189">
        <f t="shared" si="19"/>
        <v>8522626.879999999</v>
      </c>
      <c r="S258" s="189">
        <f t="shared" si="19"/>
        <v>7236642.64</v>
      </c>
      <c r="T258" s="189">
        <f t="shared" si="19"/>
        <v>6966133.12</v>
      </c>
      <c r="U258" s="189">
        <f t="shared" si="19"/>
        <v>6678032.42</v>
      </c>
      <c r="V258" s="189">
        <f t="shared" si="19"/>
        <v>57371823.879999995</v>
      </c>
      <c r="W258" s="189">
        <f t="shared" si="19"/>
        <v>188893600.17999998</v>
      </c>
    </row>
    <row r="259" spans="1:23" s="165" customFormat="1" ht="12.75">
      <c r="A259" s="190"/>
      <c r="B259" s="233" t="s">
        <v>291</v>
      </c>
      <c r="C259" s="234"/>
      <c r="D259" s="234"/>
      <c r="E259" s="234"/>
      <c r="F259" s="235"/>
      <c r="G259" s="191" t="s">
        <v>292</v>
      </c>
      <c r="H259" s="192">
        <f aca="true" t="shared" si="20" ref="H259:U259">SUM(H258/$E$250)</f>
        <v>0.10532259300406632</v>
      </c>
      <c r="I259" s="192">
        <f t="shared" si="20"/>
        <v>0.15126120427502948</v>
      </c>
      <c r="J259" s="192">
        <f t="shared" si="20"/>
        <v>0.15336534180004438</v>
      </c>
      <c r="K259" s="192">
        <f t="shared" si="20"/>
        <v>0.15786751979527863</v>
      </c>
      <c r="L259" s="192">
        <f t="shared" si="20"/>
        <v>0.155872565989211</v>
      </c>
      <c r="M259" s="192">
        <f t="shared" si="20"/>
        <v>0.15527749828890539</v>
      </c>
      <c r="N259" s="192">
        <f t="shared" si="20"/>
        <v>0.15676470701004216</v>
      </c>
      <c r="O259" s="192">
        <f t="shared" si="20"/>
        <v>0.1506280534411552</v>
      </c>
      <c r="P259" s="192">
        <f t="shared" si="20"/>
        <v>0.1456901530146082</v>
      </c>
      <c r="Q259" s="192">
        <f t="shared" si="20"/>
        <v>0.13989157229917318</v>
      </c>
      <c r="R259" s="192">
        <f t="shared" si="20"/>
        <v>0.12284576463514146</v>
      </c>
      <c r="S259" s="192">
        <f t="shared" si="20"/>
        <v>0.10430949412888868</v>
      </c>
      <c r="T259" s="192">
        <f t="shared" si="20"/>
        <v>0.10041035020373716</v>
      </c>
      <c r="U259" s="192">
        <f t="shared" si="20"/>
        <v>0.0962576457287268</v>
      </c>
      <c r="V259" s="192"/>
      <c r="W259" s="192"/>
    </row>
    <row r="260" spans="1:23" s="165" customFormat="1" ht="12.75">
      <c r="A260" s="190"/>
      <c r="B260" s="233" t="s">
        <v>293</v>
      </c>
      <c r="C260" s="234"/>
      <c r="D260" s="234"/>
      <c r="E260" s="234"/>
      <c r="F260" s="235"/>
      <c r="G260" s="191" t="s">
        <v>292</v>
      </c>
      <c r="H260" s="193">
        <f aca="true" t="shared" si="21" ref="H260:U260">SUM((H258)/$E$250)</f>
        <v>0.10532259300406632</v>
      </c>
      <c r="I260" s="193">
        <f t="shared" si="21"/>
        <v>0.15126120427502948</v>
      </c>
      <c r="J260" s="193">
        <f t="shared" si="21"/>
        <v>0.15336534180004438</v>
      </c>
      <c r="K260" s="193">
        <f t="shared" si="21"/>
        <v>0.15786751979527863</v>
      </c>
      <c r="L260" s="193">
        <f t="shared" si="21"/>
        <v>0.155872565989211</v>
      </c>
      <c r="M260" s="193">
        <f t="shared" si="21"/>
        <v>0.15527749828890539</v>
      </c>
      <c r="N260" s="193">
        <f t="shared" si="21"/>
        <v>0.15676470701004216</v>
      </c>
      <c r="O260" s="193">
        <f t="shared" si="21"/>
        <v>0.1506280534411552</v>
      </c>
      <c r="P260" s="193">
        <f t="shared" si="21"/>
        <v>0.1456901530146082</v>
      </c>
      <c r="Q260" s="193">
        <f t="shared" si="21"/>
        <v>0.13989157229917318</v>
      </c>
      <c r="R260" s="193">
        <f t="shared" si="21"/>
        <v>0.12284576463514146</v>
      </c>
      <c r="S260" s="193">
        <f t="shared" si="21"/>
        <v>0.10430949412888868</v>
      </c>
      <c r="T260" s="193">
        <f t="shared" si="21"/>
        <v>0.10041035020373716</v>
      </c>
      <c r="U260" s="193">
        <f t="shared" si="21"/>
        <v>0.0962576457287268</v>
      </c>
      <c r="V260" s="193"/>
      <c r="W260" s="194"/>
    </row>
    <row r="261" spans="1:23" s="165" customFormat="1" ht="15.75">
      <c r="A261" s="1"/>
      <c r="B261" s="26"/>
      <c r="C261" s="18"/>
      <c r="D261" s="18"/>
      <c r="E261" s="18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95"/>
      <c r="R261" s="195"/>
      <c r="S261" s="195"/>
      <c r="T261" s="195"/>
      <c r="U261" s="195"/>
      <c r="V261" s="195"/>
      <c r="W261" s="196"/>
    </row>
    <row r="262" spans="1:23" s="138" customFormat="1" ht="13.5" customHeight="1">
      <c r="A262" s="1"/>
      <c r="B262" s="127"/>
      <c r="C262" s="215" t="s">
        <v>337</v>
      </c>
      <c r="D262" s="132"/>
      <c r="E262" s="142"/>
      <c r="F262" s="6"/>
      <c r="G262" s="6"/>
      <c r="H262" s="197"/>
      <c r="I262" s="198"/>
      <c r="J262" s="198"/>
      <c r="K262" s="198"/>
      <c r="L262" s="198"/>
      <c r="M262" s="197"/>
      <c r="N262" s="199"/>
      <c r="O262" s="8"/>
      <c r="P262" s="8"/>
      <c r="Q262" s="8"/>
      <c r="R262" s="8"/>
      <c r="T262" s="195"/>
      <c r="U262" s="200"/>
      <c r="V262" s="201"/>
      <c r="W262" s="202"/>
    </row>
    <row r="263" spans="1:23" s="138" customFormat="1" ht="18" customHeight="1">
      <c r="A263" s="1"/>
      <c r="B263" s="127"/>
      <c r="C263" s="216">
        <v>63005575</v>
      </c>
      <c r="D263" s="132"/>
      <c r="E263" s="142"/>
      <c r="F263" s="6"/>
      <c r="G263" s="6"/>
      <c r="H263" s="197"/>
      <c r="I263" s="197"/>
      <c r="J263" s="197"/>
      <c r="K263" s="197"/>
      <c r="L263" s="197"/>
      <c r="M263" s="197"/>
      <c r="N263" s="197"/>
      <c r="O263" s="197"/>
      <c r="P263" s="197"/>
      <c r="Q263" s="197"/>
      <c r="R263" s="197"/>
      <c r="S263" s="197"/>
      <c r="T263" s="197"/>
      <c r="U263" s="197"/>
      <c r="V263" s="197"/>
      <c r="W263" s="202"/>
    </row>
    <row r="264" spans="1:23" s="138" customFormat="1" ht="18.75">
      <c r="A264" s="1"/>
      <c r="B264" s="127"/>
      <c r="C264" s="132"/>
      <c r="D264" s="132"/>
      <c r="E264" s="142"/>
      <c r="F264" s="6"/>
      <c r="G264" s="6"/>
      <c r="H264" s="156"/>
      <c r="I264" s="156"/>
      <c r="J264" s="6"/>
      <c r="K264" s="6"/>
      <c r="L264" s="6"/>
      <c r="M264" s="6"/>
      <c r="N264" s="6"/>
      <c r="O264" s="6"/>
      <c r="P264" s="6"/>
      <c r="Q264" s="156"/>
      <c r="R264" s="203"/>
      <c r="S264" s="203"/>
      <c r="T264" s="203"/>
      <c r="U264" s="203"/>
      <c r="V264" s="203"/>
      <c r="W264" s="1"/>
    </row>
    <row r="265" spans="1:23" s="138" customFormat="1" ht="15.75">
      <c r="A265" s="1"/>
      <c r="B265" s="127"/>
      <c r="C265" s="132"/>
      <c r="D265" s="132"/>
      <c r="E265" s="142"/>
      <c r="F265" s="6"/>
      <c r="G265" s="6"/>
      <c r="H265" s="204"/>
      <c r="I265" s="204"/>
      <c r="J265" s="204"/>
      <c r="K265" s="204"/>
      <c r="L265" s="204"/>
      <c r="M265" s="204"/>
      <c r="N265" s="204"/>
      <c r="O265" s="204"/>
      <c r="P265" s="204"/>
      <c r="Q265" s="205"/>
      <c r="R265" s="205"/>
      <c r="S265" s="205"/>
      <c r="T265" s="205"/>
      <c r="U265" s="205"/>
      <c r="V265" s="205"/>
      <c r="W265" s="1"/>
    </row>
    <row r="266" spans="1:23" s="138" customFormat="1" ht="15">
      <c r="A266" s="1"/>
      <c r="B266" s="127"/>
      <c r="C266" s="206"/>
      <c r="D266" s="206"/>
      <c r="E266" s="5"/>
      <c r="F266" s="5"/>
      <c r="G266" s="205"/>
      <c r="H266" s="205"/>
      <c r="I266" s="205"/>
      <c r="J266" s="205"/>
      <c r="K266" s="205"/>
      <c r="L266" s="205"/>
      <c r="M266" s="205"/>
      <c r="N266" s="205"/>
      <c r="O266" s="205"/>
      <c r="P266" s="205"/>
      <c r="Q266" s="6"/>
      <c r="R266" s="6"/>
      <c r="S266" s="6"/>
      <c r="T266" s="6"/>
      <c r="U266" s="6"/>
      <c r="V266" s="6"/>
      <c r="W266" s="1"/>
    </row>
    <row r="267" spans="1:23" s="138" customFormat="1" ht="15">
      <c r="A267" s="1"/>
      <c r="B267" s="206"/>
      <c r="C267" s="206"/>
      <c r="D267" s="206"/>
      <c r="E267" s="5"/>
      <c r="F267" s="5"/>
      <c r="G267" s="205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1"/>
    </row>
    <row r="268" spans="2:7" ht="15">
      <c r="B268" s="206"/>
      <c r="C268" s="206"/>
      <c r="D268" s="206"/>
      <c r="E268" s="5"/>
      <c r="F268" s="5"/>
      <c r="G268" s="205"/>
    </row>
    <row r="269" spans="2:7" ht="15">
      <c r="B269" s="206"/>
      <c r="C269" s="206"/>
      <c r="D269" s="206"/>
      <c r="E269" s="5"/>
      <c r="F269" s="5"/>
      <c r="G269" s="205"/>
    </row>
    <row r="270" spans="3:7" ht="15">
      <c r="C270" s="206"/>
      <c r="D270" s="206"/>
      <c r="E270" s="5"/>
      <c r="F270" s="5"/>
      <c r="G270" s="205"/>
    </row>
    <row r="271" spans="3:7" ht="15">
      <c r="C271" s="206"/>
      <c r="D271" s="206"/>
      <c r="E271" s="5"/>
      <c r="F271" s="5"/>
      <c r="G271" s="205"/>
    </row>
  </sheetData>
  <sheetProtection/>
  <mergeCells count="569">
    <mergeCell ref="A4:G4"/>
    <mergeCell ref="A5:A6"/>
    <mergeCell ref="B5:B6"/>
    <mergeCell ref="C5:C6"/>
    <mergeCell ref="A7:A8"/>
    <mergeCell ref="C7:C8"/>
    <mergeCell ref="D7:D8"/>
    <mergeCell ref="E7:E8"/>
    <mergeCell ref="F7:F8"/>
    <mergeCell ref="A9:A10"/>
    <mergeCell ref="C9:C10"/>
    <mergeCell ref="D9:D10"/>
    <mergeCell ref="E9:E10"/>
    <mergeCell ref="F9:F10"/>
    <mergeCell ref="A11:A12"/>
    <mergeCell ref="C11:C12"/>
    <mergeCell ref="D11:D12"/>
    <mergeCell ref="E11:E12"/>
    <mergeCell ref="F11:F12"/>
    <mergeCell ref="A13:A14"/>
    <mergeCell ref="C13:C14"/>
    <mergeCell ref="D13:D14"/>
    <mergeCell ref="E13:E14"/>
    <mergeCell ref="F13:F14"/>
    <mergeCell ref="A15:A16"/>
    <mergeCell ref="C15:C16"/>
    <mergeCell ref="D15:D16"/>
    <mergeCell ref="E15:E16"/>
    <mergeCell ref="F15:F16"/>
    <mergeCell ref="A17:A18"/>
    <mergeCell ref="C17:C18"/>
    <mergeCell ref="D17:D18"/>
    <mergeCell ref="E17:E18"/>
    <mergeCell ref="F17:F18"/>
    <mergeCell ref="A19:A20"/>
    <mergeCell ref="C19:C20"/>
    <mergeCell ref="D19:D20"/>
    <mergeCell ref="E19:E20"/>
    <mergeCell ref="F19:F20"/>
    <mergeCell ref="A21:A22"/>
    <mergeCell ref="C21:C22"/>
    <mergeCell ref="D21:D22"/>
    <mergeCell ref="E21:E22"/>
    <mergeCell ref="F21:F22"/>
    <mergeCell ref="A23:A24"/>
    <mergeCell ref="C23:C24"/>
    <mergeCell ref="D23:D24"/>
    <mergeCell ref="E23:E24"/>
    <mergeCell ref="F23:F24"/>
    <mergeCell ref="A25:A26"/>
    <mergeCell ref="C25:C26"/>
    <mergeCell ref="D25:D26"/>
    <mergeCell ref="E25:E26"/>
    <mergeCell ref="F25:F26"/>
    <mergeCell ref="A27:A28"/>
    <mergeCell ref="C27:C28"/>
    <mergeCell ref="D27:D28"/>
    <mergeCell ref="E27:E28"/>
    <mergeCell ref="F27:F28"/>
    <mergeCell ref="A29:A30"/>
    <mergeCell ref="C29:C30"/>
    <mergeCell ref="D29:D30"/>
    <mergeCell ref="E29:E30"/>
    <mergeCell ref="F29:F30"/>
    <mergeCell ref="A31:A32"/>
    <mergeCell ref="C31:C32"/>
    <mergeCell ref="D31:D32"/>
    <mergeCell ref="E31:E32"/>
    <mergeCell ref="F31:F32"/>
    <mergeCell ref="A33:A34"/>
    <mergeCell ref="C33:C34"/>
    <mergeCell ref="D33:D34"/>
    <mergeCell ref="E33:E34"/>
    <mergeCell ref="F33:F34"/>
    <mergeCell ref="A35:A36"/>
    <mergeCell ref="C35:C36"/>
    <mergeCell ref="D35:D36"/>
    <mergeCell ref="E35:E36"/>
    <mergeCell ref="F35:F36"/>
    <mergeCell ref="A37:A38"/>
    <mergeCell ref="C37:C38"/>
    <mergeCell ref="D37:D38"/>
    <mergeCell ref="E37:E38"/>
    <mergeCell ref="F37:F38"/>
    <mergeCell ref="A39:A40"/>
    <mergeCell ref="C39:C40"/>
    <mergeCell ref="D39:D40"/>
    <mergeCell ref="E39:E40"/>
    <mergeCell ref="F39:F40"/>
    <mergeCell ref="A41:A42"/>
    <mergeCell ref="C41:C42"/>
    <mergeCell ref="D41:D42"/>
    <mergeCell ref="E41:E42"/>
    <mergeCell ref="F41:F42"/>
    <mergeCell ref="A43:A44"/>
    <mergeCell ref="C43:C44"/>
    <mergeCell ref="D43:D44"/>
    <mergeCell ref="E43:E44"/>
    <mergeCell ref="F43:F44"/>
    <mergeCell ref="A45:A46"/>
    <mergeCell ref="C45:C46"/>
    <mergeCell ref="D45:D46"/>
    <mergeCell ref="E45:E46"/>
    <mergeCell ref="F45:F46"/>
    <mergeCell ref="A47:A48"/>
    <mergeCell ref="C47:C48"/>
    <mergeCell ref="D47:D48"/>
    <mergeCell ref="E47:E48"/>
    <mergeCell ref="F47:F48"/>
    <mergeCell ref="A49:A50"/>
    <mergeCell ref="C49:C50"/>
    <mergeCell ref="D49:D50"/>
    <mergeCell ref="E49:E50"/>
    <mergeCell ref="F49:F50"/>
    <mergeCell ref="A51:A52"/>
    <mergeCell ref="C51:C52"/>
    <mergeCell ref="D51:D52"/>
    <mergeCell ref="E51:E52"/>
    <mergeCell ref="F51:F52"/>
    <mergeCell ref="A53:A54"/>
    <mergeCell ref="C53:C54"/>
    <mergeCell ref="D53:D54"/>
    <mergeCell ref="E53:E54"/>
    <mergeCell ref="F53:F54"/>
    <mergeCell ref="A55:A56"/>
    <mergeCell ref="C55:C56"/>
    <mergeCell ref="D55:D56"/>
    <mergeCell ref="E55:E56"/>
    <mergeCell ref="F55:F56"/>
    <mergeCell ref="A57:A58"/>
    <mergeCell ref="C57:C58"/>
    <mergeCell ref="D57:D58"/>
    <mergeCell ref="E57:E58"/>
    <mergeCell ref="F57:F58"/>
    <mergeCell ref="A59:A60"/>
    <mergeCell ref="C59:C60"/>
    <mergeCell ref="D59:D60"/>
    <mergeCell ref="E59:E60"/>
    <mergeCell ref="F59:F60"/>
    <mergeCell ref="A61:A62"/>
    <mergeCell ref="C61:C62"/>
    <mergeCell ref="D61:D62"/>
    <mergeCell ref="E61:E62"/>
    <mergeCell ref="F61:F62"/>
    <mergeCell ref="A63:A64"/>
    <mergeCell ref="C63:C64"/>
    <mergeCell ref="D63:D64"/>
    <mergeCell ref="E63:E64"/>
    <mergeCell ref="F63:F64"/>
    <mergeCell ref="A65:A66"/>
    <mergeCell ref="C65:C66"/>
    <mergeCell ref="D65:D66"/>
    <mergeCell ref="E65:E66"/>
    <mergeCell ref="F65:F66"/>
    <mergeCell ref="A67:A68"/>
    <mergeCell ref="C67:C68"/>
    <mergeCell ref="D67:D68"/>
    <mergeCell ref="E67:E68"/>
    <mergeCell ref="F67:F68"/>
    <mergeCell ref="A69:A70"/>
    <mergeCell ref="C69:C70"/>
    <mergeCell ref="D69:D70"/>
    <mergeCell ref="E69:E70"/>
    <mergeCell ref="F69:F70"/>
    <mergeCell ref="A71:A72"/>
    <mergeCell ref="C71:C72"/>
    <mergeCell ref="D71:D72"/>
    <mergeCell ref="E71:E72"/>
    <mergeCell ref="F71:F72"/>
    <mergeCell ref="A73:A74"/>
    <mergeCell ref="C73:C74"/>
    <mergeCell ref="D73:D74"/>
    <mergeCell ref="E73:E74"/>
    <mergeCell ref="F73:F74"/>
    <mergeCell ref="A75:A76"/>
    <mergeCell ref="C75:C76"/>
    <mergeCell ref="D75:D76"/>
    <mergeCell ref="E75:E76"/>
    <mergeCell ref="F75:F76"/>
    <mergeCell ref="A77:A78"/>
    <mergeCell ref="C77:C78"/>
    <mergeCell ref="D77:D78"/>
    <mergeCell ref="E77:E78"/>
    <mergeCell ref="F77:F78"/>
    <mergeCell ref="A79:A80"/>
    <mergeCell ref="C79:C80"/>
    <mergeCell ref="D79:D80"/>
    <mergeCell ref="E79:E80"/>
    <mergeCell ref="F79:F80"/>
    <mergeCell ref="A81:A82"/>
    <mergeCell ref="C81:C82"/>
    <mergeCell ref="D81:D82"/>
    <mergeCell ref="E81:E82"/>
    <mergeCell ref="F81:F82"/>
    <mergeCell ref="A83:A84"/>
    <mergeCell ref="C83:C84"/>
    <mergeCell ref="D83:D84"/>
    <mergeCell ref="E83:E84"/>
    <mergeCell ref="F83:F84"/>
    <mergeCell ref="A85:A86"/>
    <mergeCell ref="C85:C86"/>
    <mergeCell ref="D85:D86"/>
    <mergeCell ref="E85:E86"/>
    <mergeCell ref="F85:F86"/>
    <mergeCell ref="A87:A88"/>
    <mergeCell ref="C87:C88"/>
    <mergeCell ref="D87:D88"/>
    <mergeCell ref="E87:E88"/>
    <mergeCell ref="F87:F88"/>
    <mergeCell ref="A89:A90"/>
    <mergeCell ref="C89:C90"/>
    <mergeCell ref="D89:D90"/>
    <mergeCell ref="E89:E90"/>
    <mergeCell ref="F89:F90"/>
    <mergeCell ref="A91:A92"/>
    <mergeCell ref="C91:C92"/>
    <mergeCell ref="D91:D92"/>
    <mergeCell ref="E91:E92"/>
    <mergeCell ref="F91:F92"/>
    <mergeCell ref="A93:A94"/>
    <mergeCell ref="C93:C94"/>
    <mergeCell ref="D93:D94"/>
    <mergeCell ref="E93:E94"/>
    <mergeCell ref="F93:F94"/>
    <mergeCell ref="A95:A96"/>
    <mergeCell ref="C95:C96"/>
    <mergeCell ref="D95:D96"/>
    <mergeCell ref="E95:E96"/>
    <mergeCell ref="F95:F96"/>
    <mergeCell ref="A97:A98"/>
    <mergeCell ref="C97:C98"/>
    <mergeCell ref="D97:D98"/>
    <mergeCell ref="E97:E98"/>
    <mergeCell ref="F97:F98"/>
    <mergeCell ref="A99:A100"/>
    <mergeCell ref="C99:C100"/>
    <mergeCell ref="D99:D100"/>
    <mergeCell ref="E99:E100"/>
    <mergeCell ref="F99:F100"/>
    <mergeCell ref="A101:A102"/>
    <mergeCell ref="C101:C102"/>
    <mergeCell ref="D101:D102"/>
    <mergeCell ref="E101:E102"/>
    <mergeCell ref="F101:F102"/>
    <mergeCell ref="A103:A104"/>
    <mergeCell ref="C103:C104"/>
    <mergeCell ref="D103:D104"/>
    <mergeCell ref="E103:E104"/>
    <mergeCell ref="F103:F104"/>
    <mergeCell ref="A105:A106"/>
    <mergeCell ref="C105:C106"/>
    <mergeCell ref="D105:D106"/>
    <mergeCell ref="E105:E106"/>
    <mergeCell ref="F105:F106"/>
    <mergeCell ref="A107:A108"/>
    <mergeCell ref="C107:C108"/>
    <mergeCell ref="D107:D108"/>
    <mergeCell ref="E107:E108"/>
    <mergeCell ref="F107:F108"/>
    <mergeCell ref="A109:A110"/>
    <mergeCell ref="C109:C110"/>
    <mergeCell ref="D109:D110"/>
    <mergeCell ref="E109:E110"/>
    <mergeCell ref="F109:F110"/>
    <mergeCell ref="A111:A112"/>
    <mergeCell ref="C111:C112"/>
    <mergeCell ref="D111:D112"/>
    <mergeCell ref="E111:E112"/>
    <mergeCell ref="F111:F112"/>
    <mergeCell ref="A113:A114"/>
    <mergeCell ref="C113:C114"/>
    <mergeCell ref="D113:D114"/>
    <mergeCell ref="E113:E114"/>
    <mergeCell ref="F113:F114"/>
    <mergeCell ref="A115:A116"/>
    <mergeCell ref="C115:C116"/>
    <mergeCell ref="D115:D116"/>
    <mergeCell ref="E115:E116"/>
    <mergeCell ref="F115:F116"/>
    <mergeCell ref="A117:A118"/>
    <mergeCell ref="C117:C118"/>
    <mergeCell ref="D117:D118"/>
    <mergeCell ref="E117:E118"/>
    <mergeCell ref="F117:F118"/>
    <mergeCell ref="A119:A120"/>
    <mergeCell ref="C119:C120"/>
    <mergeCell ref="D119:D120"/>
    <mergeCell ref="E119:E120"/>
    <mergeCell ref="F119:F120"/>
    <mergeCell ref="A121:A122"/>
    <mergeCell ref="C121:C122"/>
    <mergeCell ref="D121:D122"/>
    <mergeCell ref="E121:E122"/>
    <mergeCell ref="F121:F122"/>
    <mergeCell ref="A123:A124"/>
    <mergeCell ref="C123:C124"/>
    <mergeCell ref="D123:D124"/>
    <mergeCell ref="E123:E124"/>
    <mergeCell ref="F123:F124"/>
    <mergeCell ref="A125:A126"/>
    <mergeCell ref="C125:C126"/>
    <mergeCell ref="D125:D126"/>
    <mergeCell ref="E125:E126"/>
    <mergeCell ref="F125:F126"/>
    <mergeCell ref="A127:A128"/>
    <mergeCell ref="C127:C128"/>
    <mergeCell ref="D127:D128"/>
    <mergeCell ref="E127:E128"/>
    <mergeCell ref="F127:F128"/>
    <mergeCell ref="A129:A130"/>
    <mergeCell ref="C129:C130"/>
    <mergeCell ref="D129:D130"/>
    <mergeCell ref="E129:E130"/>
    <mergeCell ref="F129:F130"/>
    <mergeCell ref="A131:A132"/>
    <mergeCell ref="C131:C132"/>
    <mergeCell ref="D131:D132"/>
    <mergeCell ref="E131:E132"/>
    <mergeCell ref="F131:F132"/>
    <mergeCell ref="A133:A134"/>
    <mergeCell ref="C133:C134"/>
    <mergeCell ref="D133:D134"/>
    <mergeCell ref="E133:E134"/>
    <mergeCell ref="F133:F134"/>
    <mergeCell ref="A135:A136"/>
    <mergeCell ref="C135:C136"/>
    <mergeCell ref="D135:D136"/>
    <mergeCell ref="E135:E136"/>
    <mergeCell ref="F135:F136"/>
    <mergeCell ref="A137:A138"/>
    <mergeCell ref="C137:C138"/>
    <mergeCell ref="D137:D138"/>
    <mergeCell ref="E137:E138"/>
    <mergeCell ref="F137:F138"/>
    <mergeCell ref="A139:A140"/>
    <mergeCell ref="C139:C140"/>
    <mergeCell ref="D139:D140"/>
    <mergeCell ref="E139:E140"/>
    <mergeCell ref="F139:F140"/>
    <mergeCell ref="A141:A142"/>
    <mergeCell ref="C141:C142"/>
    <mergeCell ref="D141:D142"/>
    <mergeCell ref="E141:E142"/>
    <mergeCell ref="F141:F142"/>
    <mergeCell ref="A143:A144"/>
    <mergeCell ref="C143:C144"/>
    <mergeCell ref="D143:D144"/>
    <mergeCell ref="E143:E144"/>
    <mergeCell ref="F143:F144"/>
    <mergeCell ref="A145:A146"/>
    <mergeCell ref="C145:C146"/>
    <mergeCell ref="D145:D146"/>
    <mergeCell ref="E145:E146"/>
    <mergeCell ref="F145:F146"/>
    <mergeCell ref="A147:A148"/>
    <mergeCell ref="C147:C148"/>
    <mergeCell ref="D147:D148"/>
    <mergeCell ref="E147:E148"/>
    <mergeCell ref="F147:F148"/>
    <mergeCell ref="A149:A150"/>
    <mergeCell ref="C149:C150"/>
    <mergeCell ref="D149:D150"/>
    <mergeCell ref="E149:E150"/>
    <mergeCell ref="F149:F150"/>
    <mergeCell ref="A151:A152"/>
    <mergeCell ref="C151:C152"/>
    <mergeCell ref="D151:D152"/>
    <mergeCell ref="E151:E152"/>
    <mergeCell ref="F151:F152"/>
    <mergeCell ref="A153:A154"/>
    <mergeCell ref="C153:C154"/>
    <mergeCell ref="D153:D154"/>
    <mergeCell ref="E153:E154"/>
    <mergeCell ref="F153:F154"/>
    <mergeCell ref="A155:A156"/>
    <mergeCell ref="C155:C156"/>
    <mergeCell ref="D155:D156"/>
    <mergeCell ref="E155:E156"/>
    <mergeCell ref="F155:F156"/>
    <mergeCell ref="A157:A158"/>
    <mergeCell ref="C157:C158"/>
    <mergeCell ref="D157:D158"/>
    <mergeCell ref="E157:E158"/>
    <mergeCell ref="F157:F158"/>
    <mergeCell ref="A159:A160"/>
    <mergeCell ref="C159:C160"/>
    <mergeCell ref="D159:D160"/>
    <mergeCell ref="E159:E160"/>
    <mergeCell ref="F159:F160"/>
    <mergeCell ref="A161:A162"/>
    <mergeCell ref="C161:C162"/>
    <mergeCell ref="D161:D162"/>
    <mergeCell ref="E161:E162"/>
    <mergeCell ref="F161:F162"/>
    <mergeCell ref="A163:A164"/>
    <mergeCell ref="C163:C164"/>
    <mergeCell ref="D163:D164"/>
    <mergeCell ref="E163:E164"/>
    <mergeCell ref="F163:F164"/>
    <mergeCell ref="A165:A166"/>
    <mergeCell ref="C165:C166"/>
    <mergeCell ref="D165:D166"/>
    <mergeCell ref="E165:E166"/>
    <mergeCell ref="F165:F166"/>
    <mergeCell ref="A167:A168"/>
    <mergeCell ref="C167:C168"/>
    <mergeCell ref="D167:D168"/>
    <mergeCell ref="E167:E168"/>
    <mergeCell ref="F167:F168"/>
    <mergeCell ref="A169:A170"/>
    <mergeCell ref="C169:C170"/>
    <mergeCell ref="D169:D170"/>
    <mergeCell ref="E169:E170"/>
    <mergeCell ref="F169:F170"/>
    <mergeCell ref="A171:A172"/>
    <mergeCell ref="C171:C172"/>
    <mergeCell ref="D171:D172"/>
    <mergeCell ref="E171:E172"/>
    <mergeCell ref="F171:F172"/>
    <mergeCell ref="A173:A174"/>
    <mergeCell ref="C173:C174"/>
    <mergeCell ref="D173:D174"/>
    <mergeCell ref="E173:E174"/>
    <mergeCell ref="F173:F174"/>
    <mergeCell ref="A175:A176"/>
    <mergeCell ref="C175:C176"/>
    <mergeCell ref="D175:D176"/>
    <mergeCell ref="E175:E176"/>
    <mergeCell ref="F175:F176"/>
    <mergeCell ref="A177:A178"/>
    <mergeCell ref="C177:C178"/>
    <mergeCell ref="D177:D178"/>
    <mergeCell ref="E177:E178"/>
    <mergeCell ref="F177:F178"/>
    <mergeCell ref="A179:A180"/>
    <mergeCell ref="C179:C180"/>
    <mergeCell ref="D179:D180"/>
    <mergeCell ref="E179:E180"/>
    <mergeCell ref="F179:F180"/>
    <mergeCell ref="A181:A182"/>
    <mergeCell ref="C181:C182"/>
    <mergeCell ref="D181:D182"/>
    <mergeCell ref="E181:E182"/>
    <mergeCell ref="F181:F182"/>
    <mergeCell ref="A183:A184"/>
    <mergeCell ref="C183:C184"/>
    <mergeCell ref="D183:D184"/>
    <mergeCell ref="E183:E184"/>
    <mergeCell ref="F183:F184"/>
    <mergeCell ref="A185:A186"/>
    <mergeCell ref="C185:C186"/>
    <mergeCell ref="D185:D186"/>
    <mergeCell ref="E185:E186"/>
    <mergeCell ref="F185:F186"/>
    <mergeCell ref="A187:A188"/>
    <mergeCell ref="C187:C188"/>
    <mergeCell ref="D187:D188"/>
    <mergeCell ref="E187:E188"/>
    <mergeCell ref="F187:F188"/>
    <mergeCell ref="A189:A190"/>
    <mergeCell ref="C189:C190"/>
    <mergeCell ref="D189:D190"/>
    <mergeCell ref="E189:E190"/>
    <mergeCell ref="F189:F190"/>
    <mergeCell ref="A191:A192"/>
    <mergeCell ref="C191:C192"/>
    <mergeCell ref="D191:D192"/>
    <mergeCell ref="E191:E192"/>
    <mergeCell ref="F191:F192"/>
    <mergeCell ref="A193:A194"/>
    <mergeCell ref="C193:C194"/>
    <mergeCell ref="D193:D194"/>
    <mergeCell ref="E193:E194"/>
    <mergeCell ref="F193:F194"/>
    <mergeCell ref="A195:A196"/>
    <mergeCell ref="C195:C196"/>
    <mergeCell ref="D195:D196"/>
    <mergeCell ref="E195:E196"/>
    <mergeCell ref="F195:F196"/>
    <mergeCell ref="A197:A198"/>
    <mergeCell ref="C197:C198"/>
    <mergeCell ref="D197:D198"/>
    <mergeCell ref="E197:E198"/>
    <mergeCell ref="F197:F198"/>
    <mergeCell ref="A199:A200"/>
    <mergeCell ref="C199:C200"/>
    <mergeCell ref="D199:D200"/>
    <mergeCell ref="E199:E200"/>
    <mergeCell ref="F199:F200"/>
    <mergeCell ref="A201:A202"/>
    <mergeCell ref="C201:C202"/>
    <mergeCell ref="D201:D202"/>
    <mergeCell ref="E201:E202"/>
    <mergeCell ref="F201:F202"/>
    <mergeCell ref="A203:A204"/>
    <mergeCell ref="C203:C204"/>
    <mergeCell ref="D203:D204"/>
    <mergeCell ref="E203:E204"/>
    <mergeCell ref="F203:F204"/>
    <mergeCell ref="A205:A206"/>
    <mergeCell ref="C205:C206"/>
    <mergeCell ref="D205:D206"/>
    <mergeCell ref="E205:E206"/>
    <mergeCell ref="F205:F206"/>
    <mergeCell ref="A207:A208"/>
    <mergeCell ref="C207:C208"/>
    <mergeCell ref="D207:D208"/>
    <mergeCell ref="E207:E208"/>
    <mergeCell ref="F207:F208"/>
    <mergeCell ref="A209:A210"/>
    <mergeCell ref="C209:C210"/>
    <mergeCell ref="D209:D210"/>
    <mergeCell ref="E209:E210"/>
    <mergeCell ref="F209:F210"/>
    <mergeCell ref="B211:F211"/>
    <mergeCell ref="B212:F212"/>
    <mergeCell ref="B213:F213"/>
    <mergeCell ref="B214:F214"/>
    <mergeCell ref="B215:F215"/>
    <mergeCell ref="B216:D216"/>
    <mergeCell ref="B217:D217"/>
    <mergeCell ref="E219:G219"/>
    <mergeCell ref="E220:G220"/>
    <mergeCell ref="E221:G221"/>
    <mergeCell ref="E222:G222"/>
    <mergeCell ref="E223:G223"/>
    <mergeCell ref="C225:G225"/>
    <mergeCell ref="C227:G227"/>
    <mergeCell ref="A232:A233"/>
    <mergeCell ref="C232:C233"/>
    <mergeCell ref="E232:E233"/>
    <mergeCell ref="F232:F233"/>
    <mergeCell ref="A234:A235"/>
    <mergeCell ref="C234:C235"/>
    <mergeCell ref="E234:E235"/>
    <mergeCell ref="F234:F235"/>
    <mergeCell ref="A236:A237"/>
    <mergeCell ref="C236:C237"/>
    <mergeCell ref="E236:E237"/>
    <mergeCell ref="F236:F237"/>
    <mergeCell ref="A238:A239"/>
    <mergeCell ref="C238:C239"/>
    <mergeCell ref="E238:E239"/>
    <mergeCell ref="F238:F239"/>
    <mergeCell ref="A240:A241"/>
    <mergeCell ref="C240:C241"/>
    <mergeCell ref="E240:E241"/>
    <mergeCell ref="F240:F241"/>
    <mergeCell ref="A242:A243"/>
    <mergeCell ref="C242:C243"/>
    <mergeCell ref="E242:E243"/>
    <mergeCell ref="F242:F243"/>
    <mergeCell ref="B256:G256"/>
    <mergeCell ref="A244:A245"/>
    <mergeCell ref="C244:C245"/>
    <mergeCell ref="E244:E245"/>
    <mergeCell ref="F244:F245"/>
    <mergeCell ref="B246:F246"/>
    <mergeCell ref="B247:F247"/>
    <mergeCell ref="B257:G257"/>
    <mergeCell ref="B258:G258"/>
    <mergeCell ref="B259:F259"/>
    <mergeCell ref="B260:F260"/>
    <mergeCell ref="C226:G226"/>
    <mergeCell ref="B248:F248"/>
    <mergeCell ref="B249:D249"/>
    <mergeCell ref="B250:D250"/>
    <mergeCell ref="E252:G252"/>
    <mergeCell ref="E253:G253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84" r:id="rId1"/>
  <headerFooter alignWithMargins="0">
    <oddFooter>&amp;R&amp;P</oddFooter>
  </headerFooter>
  <rowBreaks count="4" manualBreakCount="4">
    <brk id="44" max="255" man="1"/>
    <brk id="88" max="255" man="1"/>
    <brk id="130" max="255" man="1"/>
    <brk id="1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2023-12-19T08:55:07Z</cp:lastPrinted>
  <dcterms:created xsi:type="dcterms:W3CDTF">2023-12-18T16:40:13Z</dcterms:created>
  <dcterms:modified xsi:type="dcterms:W3CDTF">2023-12-20T12:07:51Z</dcterms:modified>
  <cp:category/>
  <cp:version/>
  <cp:contentType/>
  <cp:contentStatus/>
</cp:coreProperties>
</file>